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shani\Desktop\"/>
    </mc:Choice>
  </mc:AlternateContent>
  <bookViews>
    <workbookView xWindow="0" yWindow="0" windowWidth="28800" windowHeight="11535" tabRatio="827"/>
  </bookViews>
  <sheets>
    <sheet name="התאחדות המלונות בישראל" sheetId="6" r:id="rId1"/>
    <sheet name="מדריך למשתמש" sheetId="13" r:id="rId2"/>
    <sheet name="הנחות" sheetId="28" r:id="rId3"/>
    <sheet name="Dashboard" sheetId="23" r:id="rId4"/>
    <sheet name="רווח והפסד" sheetId="31" r:id="rId5"/>
    <sheet name="תזרים" sheetId="32" r:id="rId6"/>
    <sheet name="לוג וניהול שיחות" sheetId="16" state="hidden" r:id="rId7"/>
    <sheet name="הכנסות" sheetId="29" state="hidden" r:id="rId8"/>
    <sheet name="הוצאות" sheetId="30" state="hidden" r:id="rId9"/>
    <sheet name="הון חוזר" sheetId="33" state="hidden" r:id="rId10"/>
    <sheet name="השקעות ופחת" sheetId="34" state="hidden" r:id="rId11"/>
    <sheet name="רשימות" sheetId="8" state="hidden" r:id="rId12"/>
    <sheet name="הלוואה והוצאות מימון" sheetId="35" state="hidden" r:id="rId13"/>
    <sheet name="בדיקת כדאיות" sheetId="36" state="hidden" r:id="rId14"/>
    <sheet name="נתונים לגרפים" sheetId="25" state="hidden" r:id="rId15"/>
  </sheets>
  <definedNames>
    <definedName name="_MailEndCompose" localSheetId="1">'מדריך למשתמש'!$B$19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43895.3565740741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OFF" localSheetId="13">רשימות!#REF!</definedName>
    <definedName name="ONOFF">רשימות!#REF!</definedName>
    <definedName name="_xlnm.Print_Area" localSheetId="0">'התאחדות המלונות בישראל'!$A$1:$P$29</definedName>
    <definedName name="VTM_1" localSheetId="13" hidden="1">הנחות!#REF!</definedName>
    <definedName name="VTM_1" hidden="1">הנחות!#REF!</definedName>
    <definedName name="הוצאות">'נתונים לגרפים'!$J$23:OFFSET('נתונים לגרפים'!A$22,MAX('נתונים לגרפים'!$C$23:$C$42),0)</definedName>
    <definedName name="חודשים">רשימות!$D$3:$D$23</definedName>
    <definedName name="כןלא">רשימות!$B$3:$B$4</definedName>
    <definedName name="סוגהוצאה">רשימות!$F$3:$F$11</definedName>
    <definedName name="ערכים">'נתונים לגרפים'!A$23:INDEX('נתונים לגרפים'!$N$23:$N$42,COUNT('נתונים לגרפים'!$N$23:$N$42))</definedName>
    <definedName name="תרחישים">רשימות!$B$3:$B$8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 i="36" l="1"/>
  <c r="E10" i="36"/>
  <c r="J10" i="36" s="1"/>
  <c r="E34" i="31"/>
  <c r="AB2" i="28" l="1"/>
  <c r="AC2" i="28" s="1"/>
  <c r="AB3" i="28" l="1"/>
  <c r="AD2" i="28"/>
  <c r="AE2" i="28" s="1"/>
  <c r="Q61" i="28" l="1"/>
  <c r="M43" i="28"/>
  <c r="C8" i="28"/>
  <c r="H43" i="28"/>
  <c r="L59" i="28"/>
  <c r="C59" i="28"/>
  <c r="H13" i="28"/>
  <c r="C39" i="28"/>
  <c r="C16" i="28"/>
  <c r="AC3" i="28"/>
  <c r="AB4" i="28"/>
  <c r="AD3" i="28"/>
  <c r="AE3" i="28" s="1"/>
  <c r="AD75" i="33"/>
  <c r="AD8" i="33"/>
  <c r="E75" i="33"/>
  <c r="E8" i="33"/>
  <c r="J44" i="32"/>
  <c r="K44" i="32" s="1"/>
  <c r="L44" i="32" s="1"/>
  <c r="M44" i="32" s="1"/>
  <c r="N44" i="32" s="1"/>
  <c r="O44" i="32" s="1"/>
  <c r="P44" i="32" s="1"/>
  <c r="Q44" i="32" s="1"/>
  <c r="R44" i="32" s="1"/>
  <c r="S44" i="32" s="1"/>
  <c r="T44" i="32" s="1"/>
  <c r="U44" i="32" s="1"/>
  <c r="V44" i="32" s="1"/>
  <c r="J2" i="32"/>
  <c r="K2" i="32" s="1"/>
  <c r="L2" i="32" s="1"/>
  <c r="M2" i="32" s="1"/>
  <c r="N2" i="32" s="1"/>
  <c r="O2" i="32" s="1"/>
  <c r="P2" i="32" s="1"/>
  <c r="Q2" i="32" s="1"/>
  <c r="R2" i="32" s="1"/>
  <c r="S2" i="32" s="1"/>
  <c r="T2" i="32" s="1"/>
  <c r="U2" i="32" s="1"/>
  <c r="V2" i="32" s="1"/>
  <c r="E46" i="32"/>
  <c r="J46" i="32" s="1"/>
  <c r="AG69" i="33"/>
  <c r="AG72" i="33" s="1"/>
  <c r="J69" i="33"/>
  <c r="J72" i="33" s="1"/>
  <c r="J2" i="33"/>
  <c r="J6" i="33" s="1"/>
  <c r="AG2" i="33"/>
  <c r="AG4" i="33" s="1"/>
  <c r="H15" i="25"/>
  <c r="I15" i="25" s="1"/>
  <c r="J15" i="25" s="1"/>
  <c r="K15" i="25" s="1"/>
  <c r="L15" i="25" s="1"/>
  <c r="M15" i="25" s="1"/>
  <c r="N15" i="25" s="1"/>
  <c r="O15" i="25" s="1"/>
  <c r="P15" i="25" s="1"/>
  <c r="Q15" i="25" s="1"/>
  <c r="R15" i="25" s="1"/>
  <c r="S15" i="25" s="1"/>
  <c r="T15" i="25" s="1"/>
  <c r="H9" i="25"/>
  <c r="I9" i="25" s="1"/>
  <c r="J9" i="25" s="1"/>
  <c r="K9" i="25" s="1"/>
  <c r="L9" i="25" s="1"/>
  <c r="M9" i="25" s="1"/>
  <c r="N9" i="25" s="1"/>
  <c r="O9" i="25" s="1"/>
  <c r="P9" i="25" s="1"/>
  <c r="Q9" i="25" s="1"/>
  <c r="R9" i="25" s="1"/>
  <c r="S9" i="25" s="1"/>
  <c r="T9" i="25" s="1"/>
  <c r="H3" i="25"/>
  <c r="I3" i="25" s="1"/>
  <c r="J3" i="25" s="1"/>
  <c r="K3" i="25" s="1"/>
  <c r="L3" i="25" s="1"/>
  <c r="M3" i="25" s="1"/>
  <c r="N3" i="25" s="1"/>
  <c r="O3" i="25" s="1"/>
  <c r="P3" i="25" s="1"/>
  <c r="Q3" i="25" s="1"/>
  <c r="R3" i="25" s="1"/>
  <c r="S3" i="25" s="1"/>
  <c r="T3" i="25" s="1"/>
  <c r="J53" i="36"/>
  <c r="K53" i="36" s="1"/>
  <c r="L53" i="36" s="1"/>
  <c r="J2" i="36"/>
  <c r="K2" i="36" s="1"/>
  <c r="L2" i="36" s="1"/>
  <c r="M2" i="36" s="1"/>
  <c r="N2" i="36" s="1"/>
  <c r="O2" i="36" s="1"/>
  <c r="P2" i="36" s="1"/>
  <c r="Q2" i="36" s="1"/>
  <c r="R2" i="36" s="1"/>
  <c r="S2" i="36" s="1"/>
  <c r="T2" i="36" s="1"/>
  <c r="U2" i="36" s="1"/>
  <c r="V2" i="36" s="1"/>
  <c r="J2" i="35"/>
  <c r="K2" i="35" s="1"/>
  <c r="J47" i="34"/>
  <c r="K47" i="34" s="1"/>
  <c r="J28" i="34"/>
  <c r="K28" i="34" s="1"/>
  <c r="J18" i="34"/>
  <c r="K18" i="34" s="1"/>
  <c r="L18" i="34" s="1"/>
  <c r="M18" i="34" s="1"/>
  <c r="N18" i="34" s="1"/>
  <c r="O18" i="34" s="1"/>
  <c r="P18" i="34" s="1"/>
  <c r="Q18" i="34" s="1"/>
  <c r="R18" i="34" s="1"/>
  <c r="S18" i="34" s="1"/>
  <c r="T18" i="34" s="1"/>
  <c r="U18" i="34" s="1"/>
  <c r="V18" i="34" s="1"/>
  <c r="J2" i="34"/>
  <c r="K2" i="34" s="1"/>
  <c r="L2" i="34" s="1"/>
  <c r="M2" i="34" s="1"/>
  <c r="N2" i="34" s="1"/>
  <c r="O2" i="34" s="1"/>
  <c r="P2" i="34" s="1"/>
  <c r="Q2" i="34" s="1"/>
  <c r="R2" i="34" s="1"/>
  <c r="S2" i="34" s="1"/>
  <c r="T2" i="34" s="1"/>
  <c r="U2" i="34" s="1"/>
  <c r="V2" i="34" s="1"/>
  <c r="J107" i="30"/>
  <c r="K107" i="30" s="1"/>
  <c r="L107" i="30" s="1"/>
  <c r="M107" i="30" s="1"/>
  <c r="N107" i="30" s="1"/>
  <c r="O107" i="30" s="1"/>
  <c r="P107" i="30" s="1"/>
  <c r="Q107" i="30" s="1"/>
  <c r="R107" i="30" s="1"/>
  <c r="S107" i="30" s="1"/>
  <c r="T107" i="30" s="1"/>
  <c r="U107" i="30" s="1"/>
  <c r="V107" i="30" s="1"/>
  <c r="J98" i="30"/>
  <c r="K98" i="30" s="1"/>
  <c r="L98" i="30" s="1"/>
  <c r="M98" i="30" s="1"/>
  <c r="N98" i="30" s="1"/>
  <c r="O98" i="30" s="1"/>
  <c r="P98" i="30" s="1"/>
  <c r="Q98" i="30" s="1"/>
  <c r="R98" i="30" s="1"/>
  <c r="S98" i="30" s="1"/>
  <c r="T98" i="30" s="1"/>
  <c r="U98" i="30" s="1"/>
  <c r="V98" i="30" s="1"/>
  <c r="J69" i="30"/>
  <c r="K69" i="30" s="1"/>
  <c r="L69" i="30" s="1"/>
  <c r="M69" i="30" s="1"/>
  <c r="N69" i="30" s="1"/>
  <c r="O69" i="30" s="1"/>
  <c r="P69" i="30" s="1"/>
  <c r="Q69" i="30" s="1"/>
  <c r="R69" i="30" s="1"/>
  <c r="S69" i="30" s="1"/>
  <c r="T69" i="30" s="1"/>
  <c r="U69" i="30" s="1"/>
  <c r="V69" i="30" s="1"/>
  <c r="J2" i="30"/>
  <c r="K2" i="30" s="1"/>
  <c r="L2" i="30" s="1"/>
  <c r="M2" i="30" s="1"/>
  <c r="N2" i="30" s="1"/>
  <c r="O2" i="30" s="1"/>
  <c r="P2" i="30" s="1"/>
  <c r="Q2" i="30" s="1"/>
  <c r="R2" i="30" s="1"/>
  <c r="S2" i="30" s="1"/>
  <c r="T2" i="30" s="1"/>
  <c r="U2" i="30" s="1"/>
  <c r="V2" i="30" s="1"/>
  <c r="J67" i="29"/>
  <c r="K67" i="29" s="1"/>
  <c r="L67" i="29" s="1"/>
  <c r="M67" i="29" s="1"/>
  <c r="N67" i="29" s="1"/>
  <c r="O67" i="29" s="1"/>
  <c r="P67" i="29" s="1"/>
  <c r="Q67" i="29" s="1"/>
  <c r="R67" i="29" s="1"/>
  <c r="S67" i="29" s="1"/>
  <c r="T67" i="29" s="1"/>
  <c r="U67" i="29" s="1"/>
  <c r="V67" i="29" s="1"/>
  <c r="J62" i="29"/>
  <c r="K62" i="29" s="1"/>
  <c r="L62" i="29" s="1"/>
  <c r="M62" i="29" s="1"/>
  <c r="N62" i="29" s="1"/>
  <c r="O62" i="29" s="1"/>
  <c r="P62" i="29" s="1"/>
  <c r="Q62" i="29" s="1"/>
  <c r="R62" i="29" s="1"/>
  <c r="S62" i="29" s="1"/>
  <c r="T62" i="29" s="1"/>
  <c r="U62" i="29" s="1"/>
  <c r="V62" i="29" s="1"/>
  <c r="J23" i="29"/>
  <c r="K23" i="29" s="1"/>
  <c r="L23" i="29" s="1"/>
  <c r="M23" i="29" s="1"/>
  <c r="N23" i="29" s="1"/>
  <c r="O23" i="29" s="1"/>
  <c r="P23" i="29" s="1"/>
  <c r="Q23" i="29" s="1"/>
  <c r="R23" i="29" s="1"/>
  <c r="S23" i="29" s="1"/>
  <c r="T23" i="29" s="1"/>
  <c r="U23" i="29" s="1"/>
  <c r="V23" i="29" s="1"/>
  <c r="J2" i="29"/>
  <c r="K2" i="29" s="1"/>
  <c r="L2" i="29" s="1"/>
  <c r="M2" i="29" s="1"/>
  <c r="N2" i="29" s="1"/>
  <c r="O2" i="29" s="1"/>
  <c r="P2" i="29" s="1"/>
  <c r="Q2" i="29" s="1"/>
  <c r="R2" i="29" s="1"/>
  <c r="S2" i="29" s="1"/>
  <c r="T2" i="29" s="1"/>
  <c r="U2" i="29" s="1"/>
  <c r="V2" i="29" s="1"/>
  <c r="J2" i="31"/>
  <c r="K2" i="31" s="1"/>
  <c r="L2" i="31" s="1"/>
  <c r="M2" i="31" s="1"/>
  <c r="N2" i="31" s="1"/>
  <c r="O2" i="31" s="1"/>
  <c r="P2" i="31" s="1"/>
  <c r="Q2" i="31" s="1"/>
  <c r="R2" i="31" s="1"/>
  <c r="S2" i="31" s="1"/>
  <c r="T2" i="31" s="1"/>
  <c r="U2" i="31" s="1"/>
  <c r="V2" i="31" s="1"/>
  <c r="Q62" i="28" l="1"/>
  <c r="L60" i="28"/>
  <c r="C60" i="28"/>
  <c r="C40" i="28"/>
  <c r="AB5" i="28"/>
  <c r="AD4" i="28"/>
  <c r="AE4" i="28" s="1"/>
  <c r="AC4" i="28"/>
  <c r="AG8" i="33"/>
  <c r="H14" i="28"/>
  <c r="AG75" i="33"/>
  <c r="J8" i="33"/>
  <c r="J4" i="33"/>
  <c r="J75" i="33"/>
  <c r="J29" i="35"/>
  <c r="J30" i="35" s="1"/>
  <c r="J71" i="33"/>
  <c r="O47" i="31" a="1"/>
  <c r="O47" i="31" s="1"/>
  <c r="J73" i="33"/>
  <c r="L2" i="35"/>
  <c r="M2" i="35" s="1"/>
  <c r="K29" i="35"/>
  <c r="K30" i="35" s="1"/>
  <c r="J5" i="33"/>
  <c r="C47" i="31" a="1"/>
  <c r="AG5" i="33"/>
  <c r="L47" i="34"/>
  <c r="M47" i="34" s="1"/>
  <c r="N47" i="34" s="1"/>
  <c r="O47" i="34" s="1"/>
  <c r="P47" i="34" s="1"/>
  <c r="Q47" i="34" s="1"/>
  <c r="R47" i="34" s="1"/>
  <c r="S47" i="34" s="1"/>
  <c r="T47" i="34" s="1"/>
  <c r="U47" i="34" s="1"/>
  <c r="V47" i="34" s="1"/>
  <c r="M53" i="36"/>
  <c r="N53" i="36" s="1"/>
  <c r="O53" i="36" s="1"/>
  <c r="P53" i="36" s="1"/>
  <c r="Q53" i="36" s="1"/>
  <c r="R53" i="36" s="1"/>
  <c r="S53" i="36" s="1"/>
  <c r="T53" i="36" s="1"/>
  <c r="U53" i="36" s="1"/>
  <c r="V53" i="36" s="1"/>
  <c r="L28" i="34"/>
  <c r="M28" i="34" s="1"/>
  <c r="N28" i="34" s="1"/>
  <c r="O28" i="34" s="1"/>
  <c r="P28" i="34" s="1"/>
  <c r="Q28" i="34" s="1"/>
  <c r="R28" i="34" s="1"/>
  <c r="S28" i="34" s="1"/>
  <c r="T28" i="34" s="1"/>
  <c r="U28" i="34" s="1"/>
  <c r="V28" i="34" s="1"/>
  <c r="AG71" i="33"/>
  <c r="AG73" i="33"/>
  <c r="AH2" i="33"/>
  <c r="AG6" i="33"/>
  <c r="AH69" i="33"/>
  <c r="K69" i="33"/>
  <c r="K2" i="33"/>
  <c r="J10" i="28"/>
  <c r="C61" i="28" l="1"/>
  <c r="C41" i="28"/>
  <c r="Q63" i="28"/>
  <c r="L61" i="28"/>
  <c r="AH8" i="33"/>
  <c r="H15" i="28"/>
  <c r="AB6" i="28"/>
  <c r="AD5" i="28"/>
  <c r="AE5" i="28" s="1"/>
  <c r="AC5" i="28"/>
  <c r="K8" i="33"/>
  <c r="AH75" i="33"/>
  <c r="K75" i="33"/>
  <c r="AI2" i="33"/>
  <c r="AI5" i="33" s="1"/>
  <c r="O59" i="31"/>
  <c r="O48" i="31"/>
  <c r="O56" i="31"/>
  <c r="O55" i="31"/>
  <c r="O57" i="31"/>
  <c r="O53" i="31"/>
  <c r="O51" i="31"/>
  <c r="O54" i="31"/>
  <c r="O50" i="31"/>
  <c r="L29" i="35"/>
  <c r="L30" i="35" s="1"/>
  <c r="AH4" i="33"/>
  <c r="O49" i="31"/>
  <c r="O52" i="31"/>
  <c r="O58" i="31"/>
  <c r="C49" i="31"/>
  <c r="C53" i="31"/>
  <c r="C57" i="31"/>
  <c r="C50" i="31"/>
  <c r="C54" i="31"/>
  <c r="C58" i="31"/>
  <c r="C48" i="31"/>
  <c r="C52" i="31"/>
  <c r="C56" i="31"/>
  <c r="C47" i="31"/>
  <c r="C51" i="31"/>
  <c r="C55" i="31"/>
  <c r="C59" i="31"/>
  <c r="K72" i="33"/>
  <c r="K73" i="33"/>
  <c r="K71" i="33"/>
  <c r="AH5" i="33"/>
  <c r="C60" i="36" a="1"/>
  <c r="AI69" i="33"/>
  <c r="AH72" i="33"/>
  <c r="AH73" i="33"/>
  <c r="AH71" i="33"/>
  <c r="AH6" i="33"/>
  <c r="C30" i="34" a="1"/>
  <c r="C49" i="34" a="1"/>
  <c r="N2" i="35"/>
  <c r="M29" i="35"/>
  <c r="M30" i="35" s="1"/>
  <c r="L69" i="33"/>
  <c r="L2" i="33"/>
  <c r="K6" i="33"/>
  <c r="K5" i="33"/>
  <c r="K4" i="33"/>
  <c r="H16" i="28" l="1"/>
  <c r="L62" i="28"/>
  <c r="C62" i="28"/>
  <c r="C42" i="28"/>
  <c r="Q64" i="28"/>
  <c r="AI4" i="33"/>
  <c r="AB7" i="28"/>
  <c r="AD6" i="28"/>
  <c r="AE6" i="28" s="1"/>
  <c r="AC6" i="28"/>
  <c r="AI8" i="33"/>
  <c r="L8" i="33"/>
  <c r="AI75" i="33"/>
  <c r="L75" i="33"/>
  <c r="L77" i="33" s="1"/>
  <c r="AJ2" i="33"/>
  <c r="AJ6" i="33" s="1"/>
  <c r="AI6" i="33"/>
  <c r="L73" i="33"/>
  <c r="L71" i="33"/>
  <c r="L72" i="33"/>
  <c r="C30" i="34"/>
  <c r="C39" i="34"/>
  <c r="C36" i="34"/>
  <c r="C34" i="34"/>
  <c r="C41" i="34"/>
  <c r="C32" i="34"/>
  <c r="C35" i="34"/>
  <c r="C40" i="34"/>
  <c r="C37" i="34"/>
  <c r="C38" i="34"/>
  <c r="C33" i="34"/>
  <c r="C31" i="34"/>
  <c r="C42" i="34"/>
  <c r="AJ69" i="33"/>
  <c r="AI73" i="33"/>
  <c r="AI71" i="33"/>
  <c r="AI72" i="33"/>
  <c r="C50" i="34"/>
  <c r="C49" i="34"/>
  <c r="C57" i="34"/>
  <c r="C52" i="34"/>
  <c r="C60" i="34"/>
  <c r="C53" i="34"/>
  <c r="C61" i="34"/>
  <c r="C56" i="34"/>
  <c r="C59" i="34"/>
  <c r="C54" i="34"/>
  <c r="C55" i="34"/>
  <c r="C58" i="34"/>
  <c r="C51" i="34"/>
  <c r="O2" i="35"/>
  <c r="N29" i="35"/>
  <c r="N30" i="35" s="1"/>
  <c r="C60" i="36"/>
  <c r="C71" i="36"/>
  <c r="C69" i="36"/>
  <c r="C66" i="36"/>
  <c r="C65" i="36"/>
  <c r="C72" i="36"/>
  <c r="C67" i="36"/>
  <c r="C62" i="36"/>
  <c r="C63" i="36"/>
  <c r="C64" i="36"/>
  <c r="C70" i="36"/>
  <c r="C61" i="36"/>
  <c r="C68" i="36"/>
  <c r="M69" i="33"/>
  <c r="AJ4" i="33"/>
  <c r="M2" i="33"/>
  <c r="L4" i="33"/>
  <c r="L6" i="33"/>
  <c r="L5" i="33"/>
  <c r="L63" i="28" l="1"/>
  <c r="C63" i="28"/>
  <c r="C43" i="28"/>
  <c r="Q65" i="28"/>
  <c r="AK2" i="33"/>
  <c r="AK5" i="33" s="1"/>
  <c r="AJ5" i="33"/>
  <c r="H17" i="28"/>
  <c r="AJ8" i="33"/>
  <c r="AB8" i="28"/>
  <c r="AC7" i="28"/>
  <c r="AD7" i="28"/>
  <c r="AE7" i="28" s="1"/>
  <c r="M8" i="33"/>
  <c r="M75" i="33"/>
  <c r="M77" i="33" s="1"/>
  <c r="AI77" i="33"/>
  <c r="AJ75" i="33"/>
  <c r="M73" i="33"/>
  <c r="M71" i="33"/>
  <c r="M72" i="33"/>
  <c r="P2" i="35"/>
  <c r="O29" i="35"/>
  <c r="O30" i="35" s="1"/>
  <c r="AK69" i="33"/>
  <c r="AJ71" i="33"/>
  <c r="AJ72" i="33"/>
  <c r="AJ73" i="33"/>
  <c r="AL2" i="33"/>
  <c r="N69" i="33"/>
  <c r="N2" i="33"/>
  <c r="M4" i="33"/>
  <c r="M6" i="33"/>
  <c r="M5" i="33"/>
  <c r="N75" i="33" l="1"/>
  <c r="N77" i="33" s="1"/>
  <c r="AK4" i="33"/>
  <c r="H18" i="28"/>
  <c r="Q66" i="28"/>
  <c r="L64" i="28"/>
  <c r="C64" i="28"/>
  <c r="C44" i="28"/>
  <c r="AK6" i="33"/>
  <c r="AK8" i="33"/>
  <c r="AL8" i="33" s="1"/>
  <c r="N8" i="33"/>
  <c r="N10" i="33" s="1"/>
  <c r="AB9" i="28"/>
  <c r="AD8" i="28"/>
  <c r="AE8" i="28" s="1"/>
  <c r="AC8" i="28"/>
  <c r="AK75" i="33"/>
  <c r="AJ77" i="33"/>
  <c r="N72" i="33"/>
  <c r="N73" i="33"/>
  <c r="N71" i="33"/>
  <c r="AL69" i="33"/>
  <c r="AK72" i="33"/>
  <c r="AK73" i="33"/>
  <c r="AK71" i="33"/>
  <c r="Q2" i="35"/>
  <c r="P29" i="35"/>
  <c r="P30" i="35" s="1"/>
  <c r="O69" i="33"/>
  <c r="O75" i="33" s="1"/>
  <c r="O77" i="33" s="1"/>
  <c r="AM2" i="33"/>
  <c r="AL6" i="33"/>
  <c r="AL4" i="33"/>
  <c r="AL5" i="33"/>
  <c r="O2" i="33"/>
  <c r="N5" i="33"/>
  <c r="N4" i="33"/>
  <c r="N6" i="33"/>
  <c r="AK10" i="33" l="1"/>
  <c r="C65" i="28"/>
  <c r="C45" i="28"/>
  <c r="Q67" i="28"/>
  <c r="L65" i="28"/>
  <c r="O8" i="33"/>
  <c r="O10" i="33" s="1"/>
  <c r="AM8" i="33"/>
  <c r="H19" i="28"/>
  <c r="AB10" i="28"/>
  <c r="AD9" i="28"/>
  <c r="AE9" i="28" s="1"/>
  <c r="AC9" i="28"/>
  <c r="AL75" i="33"/>
  <c r="AK77" i="33"/>
  <c r="AL10" i="33"/>
  <c r="AM69" i="33"/>
  <c r="AL73" i="33"/>
  <c r="AL71" i="33"/>
  <c r="AL72" i="33"/>
  <c r="R2" i="35"/>
  <c r="Q29" i="35"/>
  <c r="Q30" i="35" s="1"/>
  <c r="P69" i="33"/>
  <c r="P75" i="33" s="1"/>
  <c r="P77" i="33" s="1"/>
  <c r="O72" i="33"/>
  <c r="O73" i="33"/>
  <c r="O71" i="33"/>
  <c r="AN2" i="33"/>
  <c r="AM5" i="33"/>
  <c r="AM4" i="33"/>
  <c r="AM6" i="33"/>
  <c r="P2" i="33"/>
  <c r="O6" i="33"/>
  <c r="O5" i="33"/>
  <c r="O4" i="33"/>
  <c r="P8" i="33" l="1"/>
  <c r="P10" i="33" s="1"/>
  <c r="AN8" i="33"/>
  <c r="L66" i="28"/>
  <c r="C66" i="28"/>
  <c r="C46" i="28"/>
  <c r="Q68" i="28"/>
  <c r="AB11" i="28"/>
  <c r="AC10" i="28"/>
  <c r="AD10" i="28"/>
  <c r="AE10" i="28" s="1"/>
  <c r="H20" i="28"/>
  <c r="AM75" i="33"/>
  <c r="AL77" i="33"/>
  <c r="AM10" i="33"/>
  <c r="Q69" i="33"/>
  <c r="Q75" i="33" s="1"/>
  <c r="Q77" i="33" s="1"/>
  <c r="P72" i="33"/>
  <c r="P73" i="33"/>
  <c r="P71" i="33"/>
  <c r="S2" i="35"/>
  <c r="R29" i="35"/>
  <c r="R30" i="35" s="1"/>
  <c r="AN69" i="33"/>
  <c r="AM73" i="33"/>
  <c r="AM71" i="33"/>
  <c r="AM72" i="33"/>
  <c r="AO2" i="33"/>
  <c r="AO8" i="33" s="1"/>
  <c r="AN4" i="33"/>
  <c r="AN6" i="33"/>
  <c r="AN5" i="33"/>
  <c r="Q2" i="33"/>
  <c r="P6" i="33"/>
  <c r="P5" i="33"/>
  <c r="P4" i="33"/>
  <c r="Q8" i="33" l="1"/>
  <c r="Q10" i="33" s="1"/>
  <c r="H21" i="28"/>
  <c r="L67" i="28"/>
  <c r="C67" i="28"/>
  <c r="C47" i="28"/>
  <c r="Q69" i="28"/>
  <c r="AB12" i="28"/>
  <c r="AC11" i="28"/>
  <c r="AD11" i="28"/>
  <c r="AE11" i="28" s="1"/>
  <c r="AN75" i="33"/>
  <c r="AM77" i="33"/>
  <c r="AN10" i="33"/>
  <c r="AO69" i="33"/>
  <c r="AN72" i="33"/>
  <c r="AN73" i="33"/>
  <c r="AN71" i="33"/>
  <c r="T2" i="35"/>
  <c r="S29" i="35"/>
  <c r="S30" i="35" s="1"/>
  <c r="R69" i="33"/>
  <c r="R75" i="33" s="1"/>
  <c r="R77" i="33" s="1"/>
  <c r="Q73" i="33"/>
  <c r="Q71" i="33"/>
  <c r="Q72" i="33"/>
  <c r="AP2" i="33"/>
  <c r="AP8" i="33" s="1"/>
  <c r="AO5" i="33"/>
  <c r="AO6" i="33"/>
  <c r="AO4" i="33"/>
  <c r="R2" i="33"/>
  <c r="Q4" i="33"/>
  <c r="Q5" i="33"/>
  <c r="Q6" i="33"/>
  <c r="R8" i="33" l="1"/>
  <c r="H22" i="28"/>
  <c r="Q70" i="28"/>
  <c r="L68" i="28"/>
  <c r="C68" i="28"/>
  <c r="C48" i="28"/>
  <c r="AB13" i="28"/>
  <c r="AD12" i="28"/>
  <c r="AE12" i="28" s="1"/>
  <c r="AC12" i="28"/>
  <c r="AN77" i="33"/>
  <c r="AO75" i="33"/>
  <c r="R10" i="33"/>
  <c r="AO10" i="33"/>
  <c r="S69" i="33"/>
  <c r="S75" i="33" s="1"/>
  <c r="S77" i="33" s="1"/>
  <c r="R71" i="33"/>
  <c r="R72" i="33"/>
  <c r="R73" i="33"/>
  <c r="AP69" i="33"/>
  <c r="AO72" i="33"/>
  <c r="AO73" i="33"/>
  <c r="AO71" i="33"/>
  <c r="U2" i="35"/>
  <c r="T29" i="35"/>
  <c r="T30" i="35" s="1"/>
  <c r="AQ2" i="33"/>
  <c r="AQ8" i="33" s="1"/>
  <c r="AP6" i="33"/>
  <c r="AP5" i="33"/>
  <c r="AP4" i="33"/>
  <c r="S2" i="33"/>
  <c r="S8" i="33" s="1"/>
  <c r="R5" i="33"/>
  <c r="R4" i="33"/>
  <c r="R6" i="33"/>
  <c r="C69" i="28" l="1"/>
  <c r="C49" i="28"/>
  <c r="Q71" i="28"/>
  <c r="L69" i="28"/>
  <c r="H23" i="28"/>
  <c r="AB14" i="28"/>
  <c r="AD13" i="28"/>
  <c r="AE13" i="28" s="1"/>
  <c r="AC13" i="28"/>
  <c r="AO77" i="33"/>
  <c r="AP75" i="33"/>
  <c r="S10" i="33"/>
  <c r="AP10" i="33"/>
  <c r="V2" i="35"/>
  <c r="V29" i="35" s="1"/>
  <c r="V30" i="35" s="1"/>
  <c r="U29" i="35"/>
  <c r="U30" i="35" s="1"/>
  <c r="AQ69" i="33"/>
  <c r="AP72" i="33"/>
  <c r="AP73" i="33"/>
  <c r="AP71" i="33"/>
  <c r="T69" i="33"/>
  <c r="T75" i="33" s="1"/>
  <c r="T77" i="33" s="1"/>
  <c r="S72" i="33"/>
  <c r="S73" i="33"/>
  <c r="S71" i="33"/>
  <c r="AR2" i="33"/>
  <c r="AR8" i="33" s="1"/>
  <c r="AQ5" i="33"/>
  <c r="AQ4" i="33"/>
  <c r="AQ6" i="33"/>
  <c r="T2" i="33"/>
  <c r="T8" i="33" s="1"/>
  <c r="S6" i="33"/>
  <c r="S5" i="33"/>
  <c r="S4" i="33"/>
  <c r="L70" i="28" l="1"/>
  <c r="C70" i="28"/>
  <c r="C50" i="28"/>
  <c r="Q72" i="28"/>
  <c r="H24" i="28"/>
  <c r="AD14" i="28"/>
  <c r="AE14" i="28" s="1"/>
  <c r="AC14" i="28"/>
  <c r="AQ75" i="33"/>
  <c r="AP77" i="33"/>
  <c r="T10" i="33"/>
  <c r="AQ10" i="33"/>
  <c r="U69" i="33"/>
  <c r="U75" i="33" s="1"/>
  <c r="U77" i="33" s="1"/>
  <c r="T73" i="33"/>
  <c r="T71" i="33"/>
  <c r="T72" i="33"/>
  <c r="AR69" i="33"/>
  <c r="AQ73" i="33"/>
  <c r="AQ71" i="33"/>
  <c r="AQ72" i="33"/>
  <c r="AS2" i="33"/>
  <c r="AS8" i="33" s="1"/>
  <c r="AR4" i="33"/>
  <c r="AR6" i="33"/>
  <c r="AR5" i="33"/>
  <c r="U2" i="33"/>
  <c r="U8" i="33" s="1"/>
  <c r="T4" i="33"/>
  <c r="T6" i="33"/>
  <c r="T5" i="33"/>
  <c r="L71" i="28" l="1"/>
  <c r="C71" i="28"/>
  <c r="C51" i="28"/>
  <c r="Q73" i="28"/>
  <c r="H25" i="28"/>
  <c r="AQ77" i="33"/>
  <c r="AR75" i="33"/>
  <c r="U10" i="33"/>
  <c r="AS10" i="33"/>
  <c r="AR10" i="33"/>
  <c r="AS69" i="33"/>
  <c r="AR71" i="33"/>
  <c r="AR72" i="33"/>
  <c r="AR73" i="33"/>
  <c r="V69" i="33"/>
  <c r="V75" i="33" s="1"/>
  <c r="V77" i="33" s="1"/>
  <c r="U73" i="33"/>
  <c r="U71" i="33"/>
  <c r="U72" i="33"/>
  <c r="AT2" i="33"/>
  <c r="AS5" i="33"/>
  <c r="AS6" i="33"/>
  <c r="AS4" i="33"/>
  <c r="Z53" i="33" a="1"/>
  <c r="Z19" i="33" a="1"/>
  <c r="Z37" i="33" a="1"/>
  <c r="V2" i="33"/>
  <c r="V8" i="33" s="1"/>
  <c r="V10" i="33" s="1"/>
  <c r="U4" i="33"/>
  <c r="U5" i="33"/>
  <c r="U6" i="33"/>
  <c r="C104" i="33" l="1" a="1"/>
  <c r="C106" i="33" s="1"/>
  <c r="D106" i="33" s="1"/>
  <c r="AR77" i="33"/>
  <c r="AS75" i="33"/>
  <c r="AS77" i="33" s="1"/>
  <c r="Z120" i="33" a="1"/>
  <c r="Z127" i="33" s="1"/>
  <c r="C37" i="33" a="1"/>
  <c r="C38" i="33" s="1"/>
  <c r="D38" i="33" s="1"/>
  <c r="W69" i="33"/>
  <c r="V72" i="33"/>
  <c r="V73" i="33"/>
  <c r="V71" i="33"/>
  <c r="C86" i="33" a="1"/>
  <c r="C120" i="33" a="1"/>
  <c r="AT69" i="33"/>
  <c r="AS72" i="33"/>
  <c r="AS73" i="33"/>
  <c r="AS71" i="33"/>
  <c r="Z86" i="33" a="1"/>
  <c r="Z104" i="33" a="1"/>
  <c r="Z37" i="33"/>
  <c r="AA37" i="33" s="1"/>
  <c r="Z39" i="33"/>
  <c r="AA39" i="33" s="1"/>
  <c r="Z44" i="33"/>
  <c r="AA44" i="33" s="1"/>
  <c r="Z42" i="33"/>
  <c r="AA42" i="33" s="1"/>
  <c r="Z47" i="33"/>
  <c r="AA47" i="33" s="1"/>
  <c r="Z38" i="33"/>
  <c r="AA38" i="33" s="1"/>
  <c r="Z43" i="33"/>
  <c r="AA43" i="33" s="1"/>
  <c r="Z48" i="33"/>
  <c r="AA48" i="33" s="1"/>
  <c r="Z40" i="33"/>
  <c r="AA40" i="33" s="1"/>
  <c r="Z46" i="33"/>
  <c r="AA46" i="33" s="1"/>
  <c r="Z41" i="33"/>
  <c r="AA41" i="33" s="1"/>
  <c r="Z49" i="33"/>
  <c r="AA49" i="33" s="1"/>
  <c r="Z45" i="33"/>
  <c r="AA45" i="33" s="1"/>
  <c r="Z19" i="33"/>
  <c r="Z26" i="33"/>
  <c r="Z30" i="33"/>
  <c r="Z22" i="33"/>
  <c r="Z24" i="33"/>
  <c r="Z27" i="33"/>
  <c r="Z29" i="33"/>
  <c r="Z20" i="33"/>
  <c r="Z23" i="33"/>
  <c r="Z21" i="33"/>
  <c r="Z25" i="33"/>
  <c r="Z31" i="33"/>
  <c r="Z28" i="33"/>
  <c r="Z53" i="33"/>
  <c r="Z55" i="33"/>
  <c r="Z63" i="33"/>
  <c r="Z60" i="33"/>
  <c r="Z56" i="33"/>
  <c r="Z64" i="33"/>
  <c r="Z59" i="33"/>
  <c r="Z62" i="33"/>
  <c r="Z61" i="33"/>
  <c r="Z58" i="33"/>
  <c r="Z57" i="33"/>
  <c r="Z54" i="33"/>
  <c r="Z65" i="33"/>
  <c r="C49" i="33"/>
  <c r="D49" i="33" s="1"/>
  <c r="W2" i="33"/>
  <c r="V5" i="33"/>
  <c r="V6" i="33"/>
  <c r="V4" i="33"/>
  <c r="C53" i="33" a="1"/>
  <c r="C19" i="33" a="1"/>
  <c r="Z126" i="33" l="1"/>
  <c r="Z129" i="33"/>
  <c r="Z125" i="33"/>
  <c r="C115" i="33"/>
  <c r="D115" i="33" s="1"/>
  <c r="C105" i="33"/>
  <c r="D105" i="33" s="1"/>
  <c r="C109" i="33"/>
  <c r="D109" i="33" s="1"/>
  <c r="C111" i="33"/>
  <c r="D111" i="33" s="1"/>
  <c r="C114" i="33"/>
  <c r="D114" i="33" s="1"/>
  <c r="C112" i="33"/>
  <c r="D112" i="33" s="1"/>
  <c r="C39" i="33"/>
  <c r="D39" i="33" s="1"/>
  <c r="Z128" i="33"/>
  <c r="Z123" i="33"/>
  <c r="C104" i="33"/>
  <c r="D104" i="33" s="1"/>
  <c r="C113" i="33"/>
  <c r="D113" i="33" s="1"/>
  <c r="C110" i="33"/>
  <c r="D110" i="33" s="1"/>
  <c r="C45" i="33"/>
  <c r="D45" i="33" s="1"/>
  <c r="Z124" i="33"/>
  <c r="Z122" i="33"/>
  <c r="C108" i="33"/>
  <c r="D108" i="33" s="1"/>
  <c r="C116" i="33"/>
  <c r="D116" i="33" s="1"/>
  <c r="C107" i="33"/>
  <c r="D107" i="33" s="1"/>
  <c r="C37" i="33"/>
  <c r="D37" i="33" s="1"/>
  <c r="C48" i="33"/>
  <c r="D48" i="33" s="1"/>
  <c r="C44" i="33"/>
  <c r="D44" i="33" s="1"/>
  <c r="Z131" i="33"/>
  <c r="Z130" i="33"/>
  <c r="Z121" i="33"/>
  <c r="C43" i="33"/>
  <c r="D43" i="33" s="1"/>
  <c r="C46" i="33"/>
  <c r="D46" i="33" s="1"/>
  <c r="C41" i="33"/>
  <c r="D41" i="33" s="1"/>
  <c r="C47" i="33"/>
  <c r="D47" i="33" s="1"/>
  <c r="C42" i="33"/>
  <c r="D42" i="33" s="1"/>
  <c r="C40" i="33"/>
  <c r="D40" i="33" s="1"/>
  <c r="Z120" i="33"/>
  <c r="Z132" i="33"/>
  <c r="Z115" i="33"/>
  <c r="AA115" i="33" s="1"/>
  <c r="Z110" i="33"/>
  <c r="AA110" i="33" s="1"/>
  <c r="Z109" i="33"/>
  <c r="AA109" i="33" s="1"/>
  <c r="Z104" i="33"/>
  <c r="AA104" i="33" s="1"/>
  <c r="Z114" i="33"/>
  <c r="AA114" i="33" s="1"/>
  <c r="Z105" i="33"/>
  <c r="AA105" i="33" s="1"/>
  <c r="Z107" i="33"/>
  <c r="AA107" i="33" s="1"/>
  <c r="Z106" i="33"/>
  <c r="AA106" i="33" s="1"/>
  <c r="Z116" i="33"/>
  <c r="AA116" i="33" s="1"/>
  <c r="Z108" i="33"/>
  <c r="AA108" i="33" s="1"/>
  <c r="Z113" i="33"/>
  <c r="AA113" i="33" s="1"/>
  <c r="Z111" i="33"/>
  <c r="AA111" i="33" s="1"/>
  <c r="Z112" i="33"/>
  <c r="AA112" i="33" s="1"/>
  <c r="C93" i="33"/>
  <c r="C98" i="33"/>
  <c r="C87" i="33"/>
  <c r="C86" i="33"/>
  <c r="C96" i="33"/>
  <c r="C91" i="33"/>
  <c r="C88" i="33"/>
  <c r="C89" i="33"/>
  <c r="C95" i="33"/>
  <c r="C94" i="33"/>
  <c r="C97" i="33"/>
  <c r="C92" i="33"/>
  <c r="C90" i="33"/>
  <c r="Z86" i="33"/>
  <c r="Z89" i="33"/>
  <c r="Z91" i="33"/>
  <c r="Z98" i="33"/>
  <c r="Z94" i="33"/>
  <c r="Z87" i="33"/>
  <c r="Z88" i="33"/>
  <c r="Z96" i="33"/>
  <c r="Z92" i="33"/>
  <c r="Z93" i="33"/>
  <c r="Z97" i="33"/>
  <c r="Z95" i="33"/>
  <c r="Z90" i="33"/>
  <c r="C123" i="33"/>
  <c r="C126" i="33"/>
  <c r="C130" i="33"/>
  <c r="C122" i="33"/>
  <c r="C124" i="33"/>
  <c r="C128" i="33"/>
  <c r="C120" i="33"/>
  <c r="C131" i="33"/>
  <c r="C121" i="33"/>
  <c r="C129" i="33"/>
  <c r="C127" i="33"/>
  <c r="C125" i="33"/>
  <c r="C132" i="33"/>
  <c r="C55" i="33"/>
  <c r="C62" i="33"/>
  <c r="C65" i="33"/>
  <c r="C53" i="33"/>
  <c r="C63" i="33"/>
  <c r="C61" i="33"/>
  <c r="C54" i="33"/>
  <c r="C60" i="33"/>
  <c r="C56" i="33"/>
  <c r="C58" i="33"/>
  <c r="C59" i="33"/>
  <c r="C64" i="33"/>
  <c r="C57" i="33"/>
  <c r="C22" i="33"/>
  <c r="C23" i="33"/>
  <c r="C26" i="33"/>
  <c r="C27" i="33"/>
  <c r="C29" i="33"/>
  <c r="C20" i="33"/>
  <c r="C19" i="33"/>
  <c r="C24" i="33"/>
  <c r="C30" i="33"/>
  <c r="C21" i="33"/>
  <c r="C28" i="33"/>
  <c r="C25" i="33"/>
  <c r="C31" i="33"/>
  <c r="D40" i="28" l="1"/>
  <c r="F40" i="28" s="1"/>
  <c r="F39" i="28"/>
  <c r="D41" i="28" l="1"/>
  <c r="B82" i="28"/>
  <c r="D42" i="28" l="1"/>
  <c r="D43" i="28" s="1"/>
  <c r="D44" i="28" s="1"/>
  <c r="D45" i="28" s="1"/>
  <c r="D46" i="28" s="1"/>
  <c r="D47" i="28" s="1"/>
  <c r="D48" i="28" s="1"/>
  <c r="D49" i="28" s="1"/>
  <c r="D50" i="28" s="1"/>
  <c r="D51" i="28" s="1"/>
  <c r="F41" i="28"/>
  <c r="F42" i="28"/>
  <c r="E53" i="29"/>
  <c r="E15" i="29"/>
  <c r="F43" i="28" l="1"/>
  <c r="K51" i="34"/>
  <c r="K52" i="34"/>
  <c r="L52" i="34"/>
  <c r="K53" i="34"/>
  <c r="L53" i="34"/>
  <c r="M53" i="34"/>
  <c r="K54" i="34"/>
  <c r="L54" i="34"/>
  <c r="M54" i="34"/>
  <c r="N54" i="34"/>
  <c r="K55" i="34"/>
  <c r="L55" i="34"/>
  <c r="M55" i="34"/>
  <c r="N55" i="34"/>
  <c r="O55" i="34"/>
  <c r="K56" i="34"/>
  <c r="L56" i="34"/>
  <c r="M56" i="34"/>
  <c r="N56" i="34"/>
  <c r="O56" i="34"/>
  <c r="P56" i="34"/>
  <c r="K57" i="34"/>
  <c r="L57" i="34"/>
  <c r="M57" i="34"/>
  <c r="N57" i="34"/>
  <c r="O57" i="34"/>
  <c r="P57" i="34"/>
  <c r="Q57" i="34"/>
  <c r="K58" i="34"/>
  <c r="L58" i="34"/>
  <c r="M58" i="34"/>
  <c r="N58" i="34"/>
  <c r="O58" i="34"/>
  <c r="P58" i="34"/>
  <c r="Q58" i="34"/>
  <c r="R58" i="34"/>
  <c r="K59" i="34"/>
  <c r="L59" i="34"/>
  <c r="M59" i="34"/>
  <c r="N59" i="34"/>
  <c r="O59" i="34"/>
  <c r="P59" i="34"/>
  <c r="Q59" i="34"/>
  <c r="R59" i="34"/>
  <c r="S59" i="34"/>
  <c r="K60" i="34"/>
  <c r="L60" i="34"/>
  <c r="M60" i="34"/>
  <c r="N60" i="34"/>
  <c r="O60" i="34"/>
  <c r="P60" i="34"/>
  <c r="Q60" i="34"/>
  <c r="R60" i="34"/>
  <c r="S60" i="34"/>
  <c r="T60" i="34"/>
  <c r="K61" i="34"/>
  <c r="L61" i="34"/>
  <c r="M61" i="34"/>
  <c r="N61" i="34"/>
  <c r="O61" i="34"/>
  <c r="P61" i="34"/>
  <c r="Q61" i="34"/>
  <c r="R61" i="34"/>
  <c r="S61" i="34"/>
  <c r="T61" i="34"/>
  <c r="U61" i="34"/>
  <c r="J61" i="34"/>
  <c r="J60" i="34"/>
  <c r="J59" i="34"/>
  <c r="J58" i="34"/>
  <c r="J57" i="34"/>
  <c r="J55" i="34"/>
  <c r="J56" i="34"/>
  <c r="J54" i="34"/>
  <c r="J53" i="34"/>
  <c r="J52" i="34"/>
  <c r="J51" i="34"/>
  <c r="J50" i="34"/>
  <c r="D48" i="34"/>
  <c r="E48" i="34" s="1"/>
  <c r="D29" i="34"/>
  <c r="J20" i="34" a="1"/>
  <c r="J20" i="34" s="1"/>
  <c r="J25" i="34" a="1"/>
  <c r="J25" i="34" s="1"/>
  <c r="E10" i="31"/>
  <c r="S80" i="28"/>
  <c r="E40" i="31"/>
  <c r="F44" i="28" l="1"/>
  <c r="U20" i="34"/>
  <c r="Q20" i="34"/>
  <c r="M20" i="34"/>
  <c r="T20" i="34"/>
  <c r="L20" i="34"/>
  <c r="S20" i="34"/>
  <c r="O20" i="34"/>
  <c r="K20" i="34"/>
  <c r="P20" i="34"/>
  <c r="V20" i="34"/>
  <c r="R20" i="34"/>
  <c r="N20" i="34"/>
  <c r="U25" i="34"/>
  <c r="M25" i="34"/>
  <c r="T25" i="34"/>
  <c r="P25" i="34"/>
  <c r="L25" i="34"/>
  <c r="Q25" i="34"/>
  <c r="V25" i="34"/>
  <c r="S25" i="34"/>
  <c r="O25" i="34"/>
  <c r="K25" i="34"/>
  <c r="R25" i="34"/>
  <c r="N25" i="34"/>
  <c r="AH120" i="33"/>
  <c r="AI120" i="33"/>
  <c r="AJ120" i="33"/>
  <c r="AK120" i="33"/>
  <c r="AL120" i="33"/>
  <c r="AM120" i="33"/>
  <c r="AN120" i="33"/>
  <c r="AO120" i="33"/>
  <c r="AP120" i="33"/>
  <c r="AQ120" i="33"/>
  <c r="AR120" i="33"/>
  <c r="AI121" i="33"/>
  <c r="AJ121" i="33"/>
  <c r="AK121" i="33"/>
  <c r="AL121" i="33"/>
  <c r="AM121" i="33"/>
  <c r="AN121" i="33"/>
  <c r="AO121" i="33"/>
  <c r="AP121" i="33"/>
  <c r="AQ121" i="33"/>
  <c r="AR121" i="33"/>
  <c r="AJ122" i="33"/>
  <c r="AK122" i="33"/>
  <c r="AL122" i="33"/>
  <c r="AM122" i="33"/>
  <c r="AN122" i="33"/>
  <c r="AO122" i="33"/>
  <c r="AP122" i="33"/>
  <c r="AQ122" i="33"/>
  <c r="AR122" i="33"/>
  <c r="AK123" i="33"/>
  <c r="AL123" i="33"/>
  <c r="AM123" i="33"/>
  <c r="AN123" i="33"/>
  <c r="AO123" i="33"/>
  <c r="AP123" i="33"/>
  <c r="AQ123" i="33"/>
  <c r="AR123" i="33"/>
  <c r="AL124" i="33"/>
  <c r="AM124" i="33"/>
  <c r="AN124" i="33"/>
  <c r="AO124" i="33"/>
  <c r="AP124" i="33"/>
  <c r="AQ124" i="33"/>
  <c r="AR124" i="33"/>
  <c r="AM125" i="33"/>
  <c r="AN125" i="33"/>
  <c r="AO125" i="33"/>
  <c r="AP125" i="33"/>
  <c r="AQ125" i="33"/>
  <c r="AR125" i="33"/>
  <c r="AN126" i="33"/>
  <c r="AO126" i="33"/>
  <c r="AP126" i="33"/>
  <c r="AQ126" i="33"/>
  <c r="AR126" i="33"/>
  <c r="AO127" i="33"/>
  <c r="AP127" i="33"/>
  <c r="AQ127" i="33"/>
  <c r="AR127" i="33"/>
  <c r="AP128" i="33"/>
  <c r="AQ128" i="33"/>
  <c r="AR128" i="33"/>
  <c r="AQ129" i="33"/>
  <c r="AR129" i="33"/>
  <c r="AR130" i="33"/>
  <c r="K120" i="33"/>
  <c r="L120" i="33"/>
  <c r="M120" i="33"/>
  <c r="N120" i="33"/>
  <c r="O120" i="33"/>
  <c r="P120" i="33"/>
  <c r="Q120" i="33"/>
  <c r="R120" i="33"/>
  <c r="S120" i="33"/>
  <c r="T120" i="33"/>
  <c r="U120" i="33"/>
  <c r="L121" i="33"/>
  <c r="M121" i="33"/>
  <c r="N121" i="33"/>
  <c r="O121" i="33"/>
  <c r="P121" i="33"/>
  <c r="Q121" i="33"/>
  <c r="R121" i="33"/>
  <c r="S121" i="33"/>
  <c r="T121" i="33"/>
  <c r="U121" i="33"/>
  <c r="M122" i="33"/>
  <c r="N122" i="33"/>
  <c r="O122" i="33"/>
  <c r="P122" i="33"/>
  <c r="Q122" i="33"/>
  <c r="R122" i="33"/>
  <c r="S122" i="33"/>
  <c r="T122" i="33"/>
  <c r="U122" i="33"/>
  <c r="N123" i="33"/>
  <c r="O123" i="33"/>
  <c r="P123" i="33"/>
  <c r="Q123" i="33"/>
  <c r="R123" i="33"/>
  <c r="S123" i="33"/>
  <c r="T123" i="33"/>
  <c r="U123" i="33"/>
  <c r="O124" i="33"/>
  <c r="P124" i="33"/>
  <c r="Q124" i="33"/>
  <c r="R124" i="33"/>
  <c r="S124" i="33"/>
  <c r="T124" i="33"/>
  <c r="U124" i="33"/>
  <c r="P125" i="33"/>
  <c r="Q125" i="33"/>
  <c r="R125" i="33"/>
  <c r="S125" i="33"/>
  <c r="T125" i="33"/>
  <c r="U125" i="33"/>
  <c r="Q126" i="33"/>
  <c r="R126" i="33"/>
  <c r="S126" i="33"/>
  <c r="T126" i="33"/>
  <c r="U126" i="33"/>
  <c r="R127" i="33"/>
  <c r="S127" i="33"/>
  <c r="T127" i="33"/>
  <c r="U127" i="33"/>
  <c r="S128" i="33"/>
  <c r="T128" i="33"/>
  <c r="U128" i="33"/>
  <c r="T129" i="33"/>
  <c r="U129" i="33"/>
  <c r="U130" i="33"/>
  <c r="AD85" i="33"/>
  <c r="AC82" i="33"/>
  <c r="D82" i="33"/>
  <c r="E76" i="33"/>
  <c r="AH53" i="33"/>
  <c r="AI53" i="33"/>
  <c r="AJ53" i="33"/>
  <c r="AK53" i="33"/>
  <c r="AL53" i="33"/>
  <c r="AM53" i="33"/>
  <c r="AN53" i="33"/>
  <c r="AO53" i="33"/>
  <c r="AP53" i="33"/>
  <c r="AQ53" i="33"/>
  <c r="AR53" i="33"/>
  <c r="AI54" i="33"/>
  <c r="AJ54" i="33"/>
  <c r="AK54" i="33"/>
  <c r="AL54" i="33"/>
  <c r="AM54" i="33"/>
  <c r="AN54" i="33"/>
  <c r="AO54" i="33"/>
  <c r="AP54" i="33"/>
  <c r="AQ54" i="33"/>
  <c r="AR54" i="33"/>
  <c r="AJ55" i="33"/>
  <c r="AK55" i="33"/>
  <c r="AL55" i="33"/>
  <c r="AM55" i="33"/>
  <c r="AN55" i="33"/>
  <c r="AO55" i="33"/>
  <c r="AP55" i="33"/>
  <c r="AQ55" i="33"/>
  <c r="AR55" i="33"/>
  <c r="AK56" i="33"/>
  <c r="AL56" i="33"/>
  <c r="AM56" i="33"/>
  <c r="AN56" i="33"/>
  <c r="AO56" i="33"/>
  <c r="AP56" i="33"/>
  <c r="AQ56" i="33"/>
  <c r="AR56" i="33"/>
  <c r="AL57" i="33"/>
  <c r="AM57" i="33"/>
  <c r="AN57" i="33"/>
  <c r="AO57" i="33"/>
  <c r="AP57" i="33"/>
  <c r="AQ57" i="33"/>
  <c r="AR57" i="33"/>
  <c r="AM58" i="33"/>
  <c r="AN58" i="33"/>
  <c r="AO58" i="33"/>
  <c r="AP58" i="33"/>
  <c r="AQ58" i="33"/>
  <c r="AR58" i="33"/>
  <c r="AN59" i="33"/>
  <c r="AO59" i="33"/>
  <c r="AP59" i="33"/>
  <c r="AQ59" i="33"/>
  <c r="AR59" i="33"/>
  <c r="AO60" i="33"/>
  <c r="AP60" i="33"/>
  <c r="AQ60" i="33"/>
  <c r="AR60" i="33"/>
  <c r="AP61" i="33"/>
  <c r="AQ61" i="33"/>
  <c r="AR61" i="33"/>
  <c r="AQ62" i="33"/>
  <c r="AR62" i="33"/>
  <c r="AR63" i="33"/>
  <c r="AG77" i="33" l="1"/>
  <c r="AH77" i="33"/>
  <c r="J77" i="33"/>
  <c r="K77" i="33"/>
  <c r="AG85" i="33"/>
  <c r="AH85" i="33"/>
  <c r="AI85" i="33"/>
  <c r="AJ85" i="33"/>
  <c r="AK85" i="33"/>
  <c r="AL85" i="33"/>
  <c r="AM85" i="33"/>
  <c r="AN85" i="33"/>
  <c r="AO85" i="33"/>
  <c r="AP85" i="33"/>
  <c r="AQ85" i="33"/>
  <c r="AR85" i="33"/>
  <c r="AS85" i="33"/>
  <c r="F45" i="28"/>
  <c r="AH3" i="33"/>
  <c r="AI3" i="33"/>
  <c r="AJ3" i="33"/>
  <c r="AK3" i="33"/>
  <c r="AL3" i="33"/>
  <c r="AM3" i="33"/>
  <c r="AN3" i="33"/>
  <c r="AO3" i="33"/>
  <c r="AP3" i="33"/>
  <c r="AQ3" i="33"/>
  <c r="AR3" i="33"/>
  <c r="AS3" i="33"/>
  <c r="AT3" i="33"/>
  <c r="AG3" i="33"/>
  <c r="AD18" i="33"/>
  <c r="E18" i="33"/>
  <c r="AC15" i="33"/>
  <c r="AD15" i="33" s="1"/>
  <c r="D15" i="33"/>
  <c r="E15" i="33" s="1"/>
  <c r="E9" i="33"/>
  <c r="AD82" i="33"/>
  <c r="AG76" i="33"/>
  <c r="J35" i="36" a="1"/>
  <c r="T35" i="36" s="1"/>
  <c r="T36" i="36" s="1"/>
  <c r="T38" i="36" s="1"/>
  <c r="W33" i="36"/>
  <c r="E3" i="34"/>
  <c r="K3" i="34" s="1"/>
  <c r="E82" i="33"/>
  <c r="K10" i="33" l="1"/>
  <c r="J10" i="33"/>
  <c r="AG10" i="33"/>
  <c r="AH10" i="33"/>
  <c r="L10" i="33"/>
  <c r="M10" i="33"/>
  <c r="AI10" i="33"/>
  <c r="AJ10" i="33"/>
  <c r="AG9" i="33"/>
  <c r="AH18" i="33"/>
  <c r="AL18" i="33"/>
  <c r="AP18" i="33"/>
  <c r="AG18" i="33"/>
  <c r="AJ18" i="33"/>
  <c r="AN18" i="33"/>
  <c r="AR18" i="33"/>
  <c r="AK18" i="33"/>
  <c r="AO18" i="33"/>
  <c r="AS18" i="33"/>
  <c r="AI18" i="33"/>
  <c r="AM18" i="33"/>
  <c r="AQ18" i="33"/>
  <c r="J18" i="33"/>
  <c r="K18" i="33"/>
  <c r="L18" i="33"/>
  <c r="M18" i="33"/>
  <c r="N18" i="33"/>
  <c r="O18" i="33"/>
  <c r="P18" i="33"/>
  <c r="Q18" i="33"/>
  <c r="R18" i="33"/>
  <c r="S18" i="33"/>
  <c r="T18" i="33"/>
  <c r="U18" i="33"/>
  <c r="V18" i="33"/>
  <c r="F46" i="28"/>
  <c r="N3" i="34"/>
  <c r="V3" i="34"/>
  <c r="R3" i="34"/>
  <c r="Q35" i="36"/>
  <c r="Q36" i="36" s="1"/>
  <c r="Q38" i="36" s="1"/>
  <c r="U35" i="36"/>
  <c r="U36" i="36" s="1"/>
  <c r="U38" i="36" s="1"/>
  <c r="N35" i="36"/>
  <c r="N36" i="36" s="1"/>
  <c r="N38" i="36" s="1"/>
  <c r="R35" i="36"/>
  <c r="R36" i="36" s="1"/>
  <c r="R38" i="36" s="1"/>
  <c r="V35" i="36"/>
  <c r="V36" i="36" s="1"/>
  <c r="V38" i="36" s="1"/>
  <c r="K35" i="36"/>
  <c r="K36" i="36" s="1"/>
  <c r="K38" i="36" s="1"/>
  <c r="O35" i="36"/>
  <c r="O36" i="36" s="1"/>
  <c r="O38" i="36" s="1"/>
  <c r="S35" i="36"/>
  <c r="S36" i="36" s="1"/>
  <c r="S38" i="36" s="1"/>
  <c r="M35" i="36"/>
  <c r="M36" i="36" s="1"/>
  <c r="M38" i="36" s="1"/>
  <c r="J35" i="36"/>
  <c r="J36" i="36" s="1"/>
  <c r="J38" i="36" s="1"/>
  <c r="L35" i="36"/>
  <c r="L36" i="36" s="1"/>
  <c r="L38" i="36" s="1"/>
  <c r="P35" i="36"/>
  <c r="P36" i="36" s="1"/>
  <c r="P38" i="36" s="1"/>
  <c r="U3" i="34"/>
  <c r="M3" i="34"/>
  <c r="T3" i="34"/>
  <c r="P3" i="34"/>
  <c r="L3" i="34"/>
  <c r="L21" i="34" s="1"/>
  <c r="L22" i="34" s="1"/>
  <c r="L51" i="34" s="1"/>
  <c r="Q3" i="34"/>
  <c r="J3" i="34"/>
  <c r="J21" i="34" s="1"/>
  <c r="J22" i="34" s="1"/>
  <c r="J49" i="34" s="1"/>
  <c r="S3" i="34"/>
  <c r="O3" i="34"/>
  <c r="F47" i="28" l="1"/>
  <c r="Q21" i="34"/>
  <c r="Q22" i="34" s="1"/>
  <c r="Q56" i="34" s="1"/>
  <c r="R56" i="34" s="1"/>
  <c r="S56" i="34" s="1"/>
  <c r="M21" i="34"/>
  <c r="M22" i="34" s="1"/>
  <c r="M52" i="34" s="1"/>
  <c r="N52" i="34" s="1"/>
  <c r="S21" i="34"/>
  <c r="S22" i="34" s="1"/>
  <c r="S58" i="34" s="1"/>
  <c r="T58" i="34" s="1"/>
  <c r="U58" i="34" s="1"/>
  <c r="V58" i="34" s="1"/>
  <c r="P21" i="34"/>
  <c r="P22" i="34" s="1"/>
  <c r="P55" i="34" s="1"/>
  <c r="Q55" i="34" s="1"/>
  <c r="R55" i="34" s="1"/>
  <c r="T21" i="34"/>
  <c r="T22" i="34" s="1"/>
  <c r="T59" i="34" s="1"/>
  <c r="U59" i="34" s="1"/>
  <c r="V59" i="34" s="1"/>
  <c r="N21" i="34"/>
  <c r="N22" i="34" s="1"/>
  <c r="N53" i="34" s="1"/>
  <c r="O53" i="34" s="1"/>
  <c r="K49" i="34"/>
  <c r="J64" i="34"/>
  <c r="J5" i="34" s="1"/>
  <c r="O21" i="34"/>
  <c r="O22" i="34" s="1"/>
  <c r="O54" i="34" s="1"/>
  <c r="M51" i="34"/>
  <c r="N51" i="34" s="1"/>
  <c r="U21" i="34"/>
  <c r="U22" i="34" s="1"/>
  <c r="U60" i="34" s="1"/>
  <c r="V60" i="34" s="1"/>
  <c r="R21" i="34"/>
  <c r="R22" i="34" s="1"/>
  <c r="R57" i="34" s="1"/>
  <c r="V21" i="34"/>
  <c r="V22" i="34" s="1"/>
  <c r="V61" i="34" s="1"/>
  <c r="K21" i="34"/>
  <c r="K22" i="34" s="1"/>
  <c r="K50" i="34" s="1"/>
  <c r="AG78" i="33"/>
  <c r="AG11" i="33"/>
  <c r="O52" i="34" l="1"/>
  <c r="P52" i="34" s="1"/>
  <c r="Q52" i="34" s="1"/>
  <c r="F48" i="28"/>
  <c r="P53" i="34"/>
  <c r="Q53" i="34" s="1"/>
  <c r="L50" i="34"/>
  <c r="M50" i="34" s="1"/>
  <c r="S55" i="34"/>
  <c r="T55" i="34" s="1"/>
  <c r="U55" i="34" s="1"/>
  <c r="V55" i="34" s="1"/>
  <c r="O51" i="34"/>
  <c r="P51" i="34" s="1"/>
  <c r="S57" i="34"/>
  <c r="P54" i="34"/>
  <c r="Q54" i="34" s="1"/>
  <c r="T56" i="34"/>
  <c r="U56" i="34" s="1"/>
  <c r="V56" i="34" s="1"/>
  <c r="L49" i="34"/>
  <c r="K64" i="34"/>
  <c r="K5" i="34" s="1"/>
  <c r="AH9" i="33"/>
  <c r="AH11" i="33" s="1"/>
  <c r="AI9" i="33" s="1"/>
  <c r="AI11" i="33" s="1"/>
  <c r="AJ9" i="33" s="1"/>
  <c r="AJ11" i="33" s="1"/>
  <c r="AK9" i="33" s="1"/>
  <c r="AK11" i="33" s="1"/>
  <c r="AL9" i="33" s="1"/>
  <c r="AL11" i="33" s="1"/>
  <c r="AM9" i="33" s="1"/>
  <c r="AM11" i="33" s="1"/>
  <c r="AN9" i="33" s="1"/>
  <c r="AN11" i="33" s="1"/>
  <c r="AO9" i="33" s="1"/>
  <c r="AO11" i="33" s="1"/>
  <c r="AP9" i="33" s="1"/>
  <c r="AP11" i="33" s="1"/>
  <c r="AQ9" i="33" s="1"/>
  <c r="AQ11" i="33" s="1"/>
  <c r="AR9" i="33" s="1"/>
  <c r="AR11" i="33" s="1"/>
  <c r="AS9" i="33" s="1"/>
  <c r="AS11" i="33" s="1"/>
  <c r="AH76" i="33"/>
  <c r="AH78" i="33" s="1"/>
  <c r="AI76" i="33" s="1"/>
  <c r="AI78" i="33" s="1"/>
  <c r="AJ76" i="33" s="1"/>
  <c r="AJ78" i="33" s="1"/>
  <c r="AK76" i="33" s="1"/>
  <c r="AK78" i="33" s="1"/>
  <c r="AL76" i="33" s="1"/>
  <c r="AL78" i="33" s="1"/>
  <c r="AM76" i="33" s="1"/>
  <c r="AM78" i="33" s="1"/>
  <c r="AN76" i="33" s="1"/>
  <c r="AN78" i="33" s="1"/>
  <c r="AO76" i="33" s="1"/>
  <c r="AO78" i="33" s="1"/>
  <c r="AP76" i="33" s="1"/>
  <c r="AP78" i="33" s="1"/>
  <c r="AQ76" i="33" s="1"/>
  <c r="AQ78" i="33" s="1"/>
  <c r="AR76" i="33" s="1"/>
  <c r="AR78" i="33" s="1"/>
  <c r="AS76" i="33" s="1"/>
  <c r="AS78" i="33" s="1"/>
  <c r="W36" i="36"/>
  <c r="R52" i="34" l="1"/>
  <c r="S52" i="34" s="1"/>
  <c r="F49" i="28"/>
  <c r="N50" i="34"/>
  <c r="O50" i="34" s="1"/>
  <c r="P50" i="34" s="1"/>
  <c r="R54" i="34"/>
  <c r="S54" i="34" s="1"/>
  <c r="T57" i="34"/>
  <c r="U57" i="34" s="1"/>
  <c r="V57" i="34" s="1"/>
  <c r="Q51" i="34"/>
  <c r="R51" i="34" s="1"/>
  <c r="S51" i="34" s="1"/>
  <c r="M49" i="34"/>
  <c r="N49" i="34" s="1"/>
  <c r="R53" i="34"/>
  <c r="T52" i="34"/>
  <c r="U52" i="34" s="1"/>
  <c r="V52" i="34" s="1"/>
  <c r="AF37" i="33" a="1"/>
  <c r="AF46" i="33" s="1"/>
  <c r="AF53" i="33" a="1"/>
  <c r="AF65" i="33" s="1"/>
  <c r="AF104" i="33" a="1"/>
  <c r="AF120" i="33" a="1"/>
  <c r="F51" i="28" l="1"/>
  <c r="F50" i="28"/>
  <c r="T51" i="34"/>
  <c r="U51" i="34" s="1"/>
  <c r="V51" i="34" s="1"/>
  <c r="Q50" i="34"/>
  <c r="R50" i="34" s="1"/>
  <c r="S50" i="34" s="1"/>
  <c r="T50" i="34" s="1"/>
  <c r="T54" i="34"/>
  <c r="U54" i="34" s="1"/>
  <c r="V54" i="34" s="1"/>
  <c r="O49" i="34"/>
  <c r="S53" i="34"/>
  <c r="T53" i="34" s="1"/>
  <c r="U53" i="34" s="1"/>
  <c r="V53" i="34" s="1"/>
  <c r="AF64" i="33"/>
  <c r="AF58" i="33"/>
  <c r="AF47" i="33"/>
  <c r="AF53" i="33"/>
  <c r="AF62" i="33"/>
  <c r="AF41" i="33"/>
  <c r="AF60" i="33"/>
  <c r="AF57" i="33"/>
  <c r="AF44" i="33"/>
  <c r="AF49" i="33"/>
  <c r="AF55" i="33"/>
  <c r="AF54" i="33"/>
  <c r="AF48" i="33"/>
  <c r="AF38" i="33"/>
  <c r="AF56" i="33"/>
  <c r="AF61" i="33"/>
  <c r="AF43" i="33"/>
  <c r="AF37" i="33"/>
  <c r="AF42" i="33"/>
  <c r="AF63" i="33"/>
  <c r="AF59" i="33"/>
  <c r="AF40" i="33"/>
  <c r="AF39" i="33"/>
  <c r="AF45" i="33"/>
  <c r="AF116" i="33"/>
  <c r="AF112" i="33"/>
  <c r="AF108" i="33"/>
  <c r="AF104" i="33"/>
  <c r="AF115" i="33"/>
  <c r="AF111" i="33"/>
  <c r="AF107" i="33"/>
  <c r="AF110" i="33"/>
  <c r="AF114" i="33"/>
  <c r="AF109" i="33"/>
  <c r="AF106" i="33"/>
  <c r="AF113" i="33"/>
  <c r="AF105" i="33"/>
  <c r="AF132" i="33"/>
  <c r="AF128" i="33"/>
  <c r="AF124" i="33"/>
  <c r="AF120" i="33"/>
  <c r="AF131" i="33"/>
  <c r="AF127" i="33"/>
  <c r="AF123" i="33"/>
  <c r="AF130" i="33"/>
  <c r="AF122" i="33"/>
  <c r="AF126" i="33"/>
  <c r="AF129" i="33"/>
  <c r="AF121" i="33"/>
  <c r="AF125" i="33"/>
  <c r="J16" i="35" l="1" a="1"/>
  <c r="P49" i="34"/>
  <c r="U50" i="34"/>
  <c r="E39" i="35"/>
  <c r="J39" i="35" s="1"/>
  <c r="J16" i="35" l="1"/>
  <c r="M16" i="35"/>
  <c r="S16" i="35"/>
  <c r="R16" i="35"/>
  <c r="O16" i="35"/>
  <c r="N16" i="35"/>
  <c r="P16" i="35"/>
  <c r="K16" i="35"/>
  <c r="T16" i="35"/>
  <c r="Q16" i="35"/>
  <c r="U16" i="35"/>
  <c r="L16" i="35"/>
  <c r="V16" i="35"/>
  <c r="V50" i="34"/>
  <c r="X50" i="34" s="1"/>
  <c r="Q49" i="34"/>
  <c r="J6" i="35" a="1"/>
  <c r="J6" i="35" s="1"/>
  <c r="E24" i="35"/>
  <c r="E25" i="35"/>
  <c r="E26" i="35"/>
  <c r="E23" i="35"/>
  <c r="E13" i="34"/>
  <c r="E14" i="34"/>
  <c r="E15" i="34"/>
  <c r="E12" i="34"/>
  <c r="J26" i="32" a="1"/>
  <c r="K26" i="32" s="1"/>
  <c r="J4" i="34" a="1"/>
  <c r="J4" i="34" s="1"/>
  <c r="J8" i="34" s="1"/>
  <c r="K42" i="34"/>
  <c r="L42" i="34"/>
  <c r="M42" i="34"/>
  <c r="N42" i="34"/>
  <c r="O42" i="34"/>
  <c r="P42" i="34"/>
  <c r="Q42" i="34"/>
  <c r="R42" i="34"/>
  <c r="S42" i="34"/>
  <c r="T42" i="34"/>
  <c r="U42" i="34"/>
  <c r="J42" i="34"/>
  <c r="K41" i="34"/>
  <c r="L41" i="34"/>
  <c r="M41" i="34"/>
  <c r="N41" i="34"/>
  <c r="O41" i="34"/>
  <c r="P41" i="34"/>
  <c r="Q41" i="34"/>
  <c r="R41" i="34"/>
  <c r="S41" i="34"/>
  <c r="T41" i="34"/>
  <c r="J41" i="34"/>
  <c r="J40" i="34"/>
  <c r="K40" i="34"/>
  <c r="L40" i="34"/>
  <c r="M40" i="34"/>
  <c r="N40" i="34"/>
  <c r="O40" i="34"/>
  <c r="P40" i="34"/>
  <c r="Q40" i="34"/>
  <c r="R40" i="34"/>
  <c r="S40" i="34"/>
  <c r="K39" i="34"/>
  <c r="L39" i="34"/>
  <c r="M39" i="34"/>
  <c r="N39" i="34"/>
  <c r="O39" i="34"/>
  <c r="P39" i="34"/>
  <c r="Q39" i="34"/>
  <c r="R39" i="34"/>
  <c r="J39" i="34"/>
  <c r="K38" i="34"/>
  <c r="L38" i="34"/>
  <c r="M38" i="34"/>
  <c r="N38" i="34"/>
  <c r="O38" i="34"/>
  <c r="P38" i="34"/>
  <c r="Q38" i="34"/>
  <c r="J38" i="34"/>
  <c r="K37" i="34"/>
  <c r="L37" i="34"/>
  <c r="M37" i="34"/>
  <c r="N37" i="34"/>
  <c r="O37" i="34"/>
  <c r="P37" i="34"/>
  <c r="J37" i="34"/>
  <c r="K36" i="34"/>
  <c r="L36" i="34"/>
  <c r="M36" i="34"/>
  <c r="N36" i="34"/>
  <c r="O36" i="34"/>
  <c r="J36" i="34"/>
  <c r="K35" i="34"/>
  <c r="L35" i="34"/>
  <c r="M35" i="34"/>
  <c r="N35" i="34"/>
  <c r="J35" i="34"/>
  <c r="K34" i="34"/>
  <c r="L34" i="34"/>
  <c r="M34" i="34"/>
  <c r="J34" i="34"/>
  <c r="K33" i="34"/>
  <c r="L33" i="34"/>
  <c r="J33" i="34"/>
  <c r="K32" i="34"/>
  <c r="J32" i="34"/>
  <c r="J31" i="34"/>
  <c r="E29" i="34"/>
  <c r="X16" i="35" l="1"/>
  <c r="R49" i="34"/>
  <c r="S49" i="34" s="1"/>
  <c r="T49" i="34" s="1"/>
  <c r="U49" i="34" s="1"/>
  <c r="V49" i="34" s="1"/>
  <c r="X61" i="34"/>
  <c r="L64" i="34"/>
  <c r="L5" i="34" s="1"/>
  <c r="J14" i="35"/>
  <c r="J42" i="36" s="1"/>
  <c r="N14" i="35"/>
  <c r="N42" i="36" s="1"/>
  <c r="R14" i="35"/>
  <c r="R42" i="36" s="1"/>
  <c r="V14" i="35"/>
  <c r="V42" i="36" s="1"/>
  <c r="P14" i="35"/>
  <c r="P42" i="36" s="1"/>
  <c r="Q14" i="35"/>
  <c r="Q42" i="36" s="1"/>
  <c r="K14" i="35"/>
  <c r="K42" i="36" s="1"/>
  <c r="O14" i="35"/>
  <c r="O42" i="36" s="1"/>
  <c r="S14" i="35"/>
  <c r="S42" i="36" s="1"/>
  <c r="L14" i="35"/>
  <c r="L42" i="36" s="1"/>
  <c r="T14" i="35"/>
  <c r="T42" i="36" s="1"/>
  <c r="M14" i="35"/>
  <c r="M42" i="36" s="1"/>
  <c r="U14" i="35"/>
  <c r="U42" i="36" s="1"/>
  <c r="U26" i="32"/>
  <c r="Q26" i="32"/>
  <c r="N26" i="32"/>
  <c r="V26" i="32"/>
  <c r="M26" i="32"/>
  <c r="R26" i="32"/>
  <c r="J26" i="32"/>
  <c r="S6" i="35"/>
  <c r="M6" i="35"/>
  <c r="O6" i="35"/>
  <c r="Q6" i="35"/>
  <c r="L6" i="35"/>
  <c r="T6" i="35"/>
  <c r="U6" i="35"/>
  <c r="P6" i="35"/>
  <c r="K6" i="35"/>
  <c r="V6" i="35"/>
  <c r="R6" i="35"/>
  <c r="N6" i="35"/>
  <c r="J31" i="35"/>
  <c r="E27" i="35"/>
  <c r="T26" i="32"/>
  <c r="P26" i="32"/>
  <c r="L26" i="32"/>
  <c r="S26" i="32"/>
  <c r="O26" i="32"/>
  <c r="J30" i="34"/>
  <c r="K30" i="34" s="1"/>
  <c r="L30" i="34" s="1"/>
  <c r="M30" i="34" s="1"/>
  <c r="Q4" i="34"/>
  <c r="O4" i="34"/>
  <c r="U4" i="34"/>
  <c r="M4" i="34"/>
  <c r="T4" i="34"/>
  <c r="P4" i="34"/>
  <c r="L4" i="34"/>
  <c r="S4" i="34"/>
  <c r="K4" i="34"/>
  <c r="K8" i="34" s="1"/>
  <c r="V4" i="34"/>
  <c r="R4" i="34"/>
  <c r="N4" i="34"/>
  <c r="U41" i="34"/>
  <c r="V41" i="34" s="1"/>
  <c r="X41" i="34" s="1"/>
  <c r="Q37" i="34"/>
  <c r="R37" i="34" s="1"/>
  <c r="S37" i="34" s="1"/>
  <c r="M33" i="34"/>
  <c r="N33" i="34" s="1"/>
  <c r="T40" i="34"/>
  <c r="U40" i="34" s="1"/>
  <c r="V40" i="34" s="1"/>
  <c r="P36" i="34"/>
  <c r="Q36" i="34" s="1"/>
  <c r="R36" i="34" s="1"/>
  <c r="L32" i="34"/>
  <c r="M32" i="34" s="1"/>
  <c r="N32" i="34" s="1"/>
  <c r="S39" i="34"/>
  <c r="T39" i="34" s="1"/>
  <c r="U39" i="34" s="1"/>
  <c r="O35" i="34"/>
  <c r="K31" i="34"/>
  <c r="L31" i="34" s="1"/>
  <c r="V42" i="34"/>
  <c r="X42" i="34" s="1"/>
  <c r="R38" i="34"/>
  <c r="S38" i="34" s="1"/>
  <c r="T38" i="34" s="1"/>
  <c r="U38" i="34" s="1"/>
  <c r="N34" i="34"/>
  <c r="O34" i="34" s="1"/>
  <c r="P34" i="34" s="1"/>
  <c r="Q33" i="32" l="1"/>
  <c r="S33" i="32"/>
  <c r="J33" i="32"/>
  <c r="L8" i="34"/>
  <c r="L33" i="32"/>
  <c r="P33" i="32"/>
  <c r="X49" i="34"/>
  <c r="M33" i="32"/>
  <c r="U33" i="32"/>
  <c r="V33" i="32"/>
  <c r="O33" i="32"/>
  <c r="K33" i="32"/>
  <c r="N33" i="32"/>
  <c r="R33" i="32"/>
  <c r="T33" i="32"/>
  <c r="W42" i="36"/>
  <c r="J45" i="34"/>
  <c r="X4" i="34"/>
  <c r="X14" i="35"/>
  <c r="X6" i="35"/>
  <c r="J32" i="35"/>
  <c r="J33" i="35"/>
  <c r="L45" i="34"/>
  <c r="L6" i="34" s="1"/>
  <c r="L10" i="34" s="1"/>
  <c r="X25" i="34"/>
  <c r="P35" i="34"/>
  <c r="Q35" i="34" s="1"/>
  <c r="K45" i="34"/>
  <c r="K6" i="34" s="1"/>
  <c r="K10" i="34" s="1"/>
  <c r="M31" i="34"/>
  <c r="N31" i="34" s="1"/>
  <c r="T37" i="34"/>
  <c r="O32" i="34"/>
  <c r="N30" i="34"/>
  <c r="V39" i="34"/>
  <c r="V38" i="34"/>
  <c r="S36" i="34"/>
  <c r="T36" i="34" s="1"/>
  <c r="Q34" i="34"/>
  <c r="O33" i="34"/>
  <c r="R34" i="34" l="1"/>
  <c r="J6" i="34"/>
  <c r="J10" i="34" s="1"/>
  <c r="M64" i="34"/>
  <c r="M5" i="34" s="1"/>
  <c r="M8" i="34" s="1"/>
  <c r="U37" i="34"/>
  <c r="V37" i="34" s="1"/>
  <c r="J14" i="34"/>
  <c r="J87" i="30" s="1"/>
  <c r="L14" i="34"/>
  <c r="L87" i="30" s="1"/>
  <c r="K12" i="34"/>
  <c r="K81" i="30" s="1"/>
  <c r="K13" i="34"/>
  <c r="K84" i="30" s="1"/>
  <c r="K14" i="34"/>
  <c r="K87" i="30" s="1"/>
  <c r="K15" i="34"/>
  <c r="K90" i="30" s="1"/>
  <c r="J35" i="35"/>
  <c r="K31" i="35" s="1"/>
  <c r="J8" i="35"/>
  <c r="J34" i="35"/>
  <c r="J18" i="35" s="1"/>
  <c r="M45" i="34"/>
  <c r="M6" i="34" s="1"/>
  <c r="M10" i="34" s="1"/>
  <c r="R35" i="34"/>
  <c r="S35" i="34" s="1"/>
  <c r="N45" i="34"/>
  <c r="N6" i="34" s="1"/>
  <c r="N10" i="34" s="1"/>
  <c r="O30" i="34"/>
  <c r="P32" i="34"/>
  <c r="U36" i="34"/>
  <c r="V36" i="34" s="1"/>
  <c r="S34" i="34"/>
  <c r="T34" i="34" s="1"/>
  <c r="P33" i="34"/>
  <c r="O31" i="34"/>
  <c r="J20" i="35" l="1"/>
  <c r="J44" i="36" s="1"/>
  <c r="J15" i="34"/>
  <c r="J90" i="30" s="1"/>
  <c r="J12" i="34"/>
  <c r="J81" i="30" s="1"/>
  <c r="J13" i="34"/>
  <c r="J84" i="30" s="1"/>
  <c r="L12" i="34"/>
  <c r="L81" i="30" s="1"/>
  <c r="L13" i="34"/>
  <c r="L84" i="30" s="1"/>
  <c r="M12" i="34"/>
  <c r="M81" i="30" s="1"/>
  <c r="L15" i="34"/>
  <c r="L90" i="30" s="1"/>
  <c r="J10" i="35"/>
  <c r="K32" i="35"/>
  <c r="K33" i="35"/>
  <c r="T35" i="34"/>
  <c r="U35" i="34" s="1"/>
  <c r="Q32" i="34"/>
  <c r="U34" i="34"/>
  <c r="V34" i="34" s="1"/>
  <c r="O45" i="34"/>
  <c r="P30" i="34"/>
  <c r="Q30" i="34" s="1"/>
  <c r="Q33" i="34"/>
  <c r="P31" i="34"/>
  <c r="J35" i="32" l="1"/>
  <c r="R32" i="34"/>
  <c r="S32" i="34" s="1"/>
  <c r="T32" i="34" s="1"/>
  <c r="U32" i="34" s="1"/>
  <c r="V32" i="34" s="1"/>
  <c r="O6" i="34"/>
  <c r="O10" i="34" s="1"/>
  <c r="N64" i="34"/>
  <c r="N5" i="34" s="1"/>
  <c r="N8" i="34" s="1"/>
  <c r="N12" i="34" s="1"/>
  <c r="N81" i="30" s="1"/>
  <c r="J78" i="30"/>
  <c r="J46" i="36"/>
  <c r="M14" i="34"/>
  <c r="M87" i="30" s="1"/>
  <c r="M15" i="34"/>
  <c r="M90" i="30" s="1"/>
  <c r="M13" i="34"/>
  <c r="M84" i="30" s="1"/>
  <c r="K35" i="35"/>
  <c r="L31" i="35" s="1"/>
  <c r="K8" i="35"/>
  <c r="K34" i="35"/>
  <c r="K18" i="35" s="1"/>
  <c r="V35" i="34"/>
  <c r="R30" i="34"/>
  <c r="S30" i="34" s="1"/>
  <c r="P45" i="34"/>
  <c r="R33" i="34"/>
  <c r="S33" i="34" s="1"/>
  <c r="Q31" i="34"/>
  <c r="Q45" i="34" s="1"/>
  <c r="Q6" i="34" s="1"/>
  <c r="Q10" i="34" s="1"/>
  <c r="K20" i="35" l="1"/>
  <c r="N13" i="34"/>
  <c r="N84" i="30" s="1"/>
  <c r="N14" i="34"/>
  <c r="N87" i="30" s="1"/>
  <c r="N15" i="34"/>
  <c r="N90" i="30" s="1"/>
  <c r="P6" i="34"/>
  <c r="P10" i="34" s="1"/>
  <c r="O64" i="34"/>
  <c r="O5" i="34" s="1"/>
  <c r="O8" i="34" s="1"/>
  <c r="O13" i="34" s="1"/>
  <c r="O84" i="30" s="1"/>
  <c r="P64" i="34"/>
  <c r="P5" i="34" s="1"/>
  <c r="P8" i="34" s="1"/>
  <c r="P15" i="34" s="1"/>
  <c r="P90" i="30" s="1"/>
  <c r="K10" i="35"/>
  <c r="L32" i="35"/>
  <c r="L8" i="35" s="1"/>
  <c r="L10" i="35" s="1"/>
  <c r="L33" i="35"/>
  <c r="T33" i="34"/>
  <c r="U33" i="34" s="1"/>
  <c r="V33" i="34" s="1"/>
  <c r="T30" i="34"/>
  <c r="R31" i="34"/>
  <c r="K35" i="32" l="1"/>
  <c r="K44" i="36"/>
  <c r="K46" i="36" s="1"/>
  <c r="O14" i="34"/>
  <c r="O87" i="30" s="1"/>
  <c r="O15" i="34"/>
  <c r="O90" i="30" s="1"/>
  <c r="O12" i="34"/>
  <c r="O81" i="30" s="1"/>
  <c r="K78" i="30"/>
  <c r="L78" i="30"/>
  <c r="P14" i="34"/>
  <c r="P87" i="30" s="1"/>
  <c r="P12" i="34"/>
  <c r="P81" i="30" s="1"/>
  <c r="P13" i="34"/>
  <c r="P84" i="30" s="1"/>
  <c r="L34" i="35"/>
  <c r="L18" i="35" s="1"/>
  <c r="L35" i="35"/>
  <c r="M31" i="35" s="1"/>
  <c r="S31" i="34"/>
  <c r="R45" i="34"/>
  <c r="U30" i="34"/>
  <c r="L20" i="35" l="1"/>
  <c r="L44" i="36" s="1"/>
  <c r="Q64" i="34"/>
  <c r="Q5" i="34" s="1"/>
  <c r="Q8" i="34" s="1"/>
  <c r="R6" i="34"/>
  <c r="R10" i="34" s="1"/>
  <c r="M32" i="35"/>
  <c r="M8" i="35" s="1"/>
  <c r="M33" i="35"/>
  <c r="V30" i="34"/>
  <c r="T31" i="34"/>
  <c r="S45" i="34"/>
  <c r="S6" i="34" s="1"/>
  <c r="S10" i="34" s="1"/>
  <c r="L46" i="36" l="1"/>
  <c r="L35" i="32"/>
  <c r="Q14" i="34"/>
  <c r="Q87" i="30" s="1"/>
  <c r="Q13" i="34"/>
  <c r="Q84" i="30" s="1"/>
  <c r="Q12" i="34"/>
  <c r="Q81" i="30" s="1"/>
  <c r="Q15" i="34"/>
  <c r="Q90" i="30" s="1"/>
  <c r="R64" i="34"/>
  <c r="R5" i="34" s="1"/>
  <c r="R8" i="34" s="1"/>
  <c r="R12" i="34" s="1"/>
  <c r="R81" i="30" s="1"/>
  <c r="M10" i="35"/>
  <c r="M35" i="35"/>
  <c r="N31" i="35" s="1"/>
  <c r="M34" i="35"/>
  <c r="M18" i="35" s="1"/>
  <c r="T45" i="34"/>
  <c r="U31" i="34"/>
  <c r="X30" i="34"/>
  <c r="M20" i="35" l="1"/>
  <c r="R15" i="34"/>
  <c r="R90" i="30" s="1"/>
  <c r="R13" i="34"/>
  <c r="R84" i="30" s="1"/>
  <c r="R14" i="34"/>
  <c r="R87" i="30" s="1"/>
  <c r="S64" i="34"/>
  <c r="S5" i="34" s="1"/>
  <c r="S8" i="34" s="1"/>
  <c r="S13" i="34" s="1"/>
  <c r="S84" i="30" s="1"/>
  <c r="T6" i="34"/>
  <c r="T10" i="34" s="1"/>
  <c r="M78" i="30"/>
  <c r="N32" i="35"/>
  <c r="N33" i="35"/>
  <c r="V31" i="34"/>
  <c r="V45" i="34" s="1"/>
  <c r="V6" i="34" s="1"/>
  <c r="V10" i="34" s="1"/>
  <c r="U45" i="34"/>
  <c r="U6" i="34" s="1"/>
  <c r="U10" i="34" s="1"/>
  <c r="M35" i="32" l="1"/>
  <c r="M44" i="36"/>
  <c r="S14" i="34"/>
  <c r="S87" i="30" s="1"/>
  <c r="S12" i="34"/>
  <c r="S81" i="30" s="1"/>
  <c r="S15" i="34"/>
  <c r="S90" i="30" s="1"/>
  <c r="X57" i="34"/>
  <c r="T64" i="34"/>
  <c r="T5" i="34" s="1"/>
  <c r="T8" i="34" s="1"/>
  <c r="T14" i="34" s="1"/>
  <c r="T87" i="30" s="1"/>
  <c r="X58" i="34"/>
  <c r="X53" i="34"/>
  <c r="X54" i="34"/>
  <c r="X52" i="34"/>
  <c r="X56" i="34"/>
  <c r="X55" i="34"/>
  <c r="M46" i="36"/>
  <c r="N35" i="35"/>
  <c r="O31" i="35" s="1"/>
  <c r="O33" i="35" s="1"/>
  <c r="N8" i="35"/>
  <c r="N34" i="35"/>
  <c r="N18" i="35" s="1"/>
  <c r="X6" i="34"/>
  <c r="N20" i="35" l="1"/>
  <c r="N44" i="36" s="1"/>
  <c r="T13" i="34"/>
  <c r="T84" i="30" s="1"/>
  <c r="T12" i="34"/>
  <c r="T81" i="30" s="1"/>
  <c r="T15" i="34"/>
  <c r="T90" i="30" s="1"/>
  <c r="X60" i="34"/>
  <c r="X59" i="34"/>
  <c r="U64" i="34"/>
  <c r="U5" i="34" s="1"/>
  <c r="U8" i="34" s="1"/>
  <c r="U12" i="34" s="1"/>
  <c r="U81" i="30" s="1"/>
  <c r="X51" i="34"/>
  <c r="N10" i="35"/>
  <c r="O32" i="35"/>
  <c r="O8" i="35" s="1"/>
  <c r="O10" i="35" s="1"/>
  <c r="N46" i="36" l="1"/>
  <c r="N35" i="32"/>
  <c r="U14" i="34"/>
  <c r="U87" i="30" s="1"/>
  <c r="U13" i="34"/>
  <c r="U84" i="30" s="1"/>
  <c r="U15" i="34"/>
  <c r="U90" i="30" s="1"/>
  <c r="V64" i="34"/>
  <c r="N78" i="30"/>
  <c r="O78" i="30"/>
  <c r="O34" i="35"/>
  <c r="O35" i="35"/>
  <c r="P31" i="35" s="1"/>
  <c r="P32" i="35" s="1"/>
  <c r="O18" i="35" l="1"/>
  <c r="O20" i="35" s="1"/>
  <c r="O44" i="36" s="1"/>
  <c r="X64" i="34"/>
  <c r="V5" i="34"/>
  <c r="V8" i="34" s="1"/>
  <c r="P33" i="35"/>
  <c r="P34" i="35" s="1"/>
  <c r="P8" i="35"/>
  <c r="P10" i="35" s="1"/>
  <c r="O35" i="32" l="1"/>
  <c r="O46" i="36"/>
  <c r="P18" i="35"/>
  <c r="P20" i="35" s="1"/>
  <c r="P44" i="36" s="1"/>
  <c r="V15" i="34"/>
  <c r="V13" i="34"/>
  <c r="V12" i="34"/>
  <c r="V14" i="34"/>
  <c r="X8" i="34"/>
  <c r="P78" i="30"/>
  <c r="P35" i="35"/>
  <c r="Q31" i="35" s="1"/>
  <c r="Q33" i="35" s="1"/>
  <c r="P35" i="32" l="1"/>
  <c r="P46" i="36"/>
  <c r="V87" i="30"/>
  <c r="X14" i="34"/>
  <c r="X12" i="34"/>
  <c r="V81" i="30"/>
  <c r="X13" i="34"/>
  <c r="V84" i="30"/>
  <c r="V90" i="30"/>
  <c r="X15" i="34"/>
  <c r="Q32" i="35"/>
  <c r="Q8" i="35" s="1"/>
  <c r="Q10" i="35" s="1"/>
  <c r="E87" i="30" l="1"/>
  <c r="E116" i="30" s="1"/>
  <c r="F116" i="30" s="1"/>
  <c r="W87" i="30"/>
  <c r="E81" i="30"/>
  <c r="E114" i="30" s="1"/>
  <c r="F114" i="30" s="1"/>
  <c r="W81" i="30"/>
  <c r="W90" i="30"/>
  <c r="E90" i="30"/>
  <c r="E117" i="30" s="1"/>
  <c r="F117" i="30" s="1"/>
  <c r="E84" i="30"/>
  <c r="E115" i="30" s="1"/>
  <c r="F115" i="30" s="1"/>
  <c r="W84" i="30"/>
  <c r="Q78" i="30"/>
  <c r="Q34" i="35"/>
  <c r="Q35" i="35"/>
  <c r="R31" i="35" s="1"/>
  <c r="R32" i="35" s="1"/>
  <c r="R8" i="35" s="1"/>
  <c r="R10" i="35" s="1"/>
  <c r="Q18" i="35" l="1"/>
  <c r="Q20" i="35" s="1"/>
  <c r="Q44" i="36" s="1"/>
  <c r="R78" i="30"/>
  <c r="R33" i="35"/>
  <c r="R35" i="35" s="1"/>
  <c r="S31" i="35" s="1"/>
  <c r="Q35" i="32" l="1"/>
  <c r="Q46" i="36"/>
  <c r="R34" i="35"/>
  <c r="R18" i="35" s="1"/>
  <c r="S32" i="35"/>
  <c r="S8" i="35" s="1"/>
  <c r="S10" i="35" s="1"/>
  <c r="S33" i="35"/>
  <c r="R20" i="35" l="1"/>
  <c r="S78" i="30"/>
  <c r="S35" i="35"/>
  <c r="S34" i="35"/>
  <c r="R35" i="32" l="1"/>
  <c r="R44" i="36"/>
  <c r="R46" i="36" s="1"/>
  <c r="S18" i="35"/>
  <c r="S20" i="35" s="1"/>
  <c r="S44" i="36" s="1"/>
  <c r="T31" i="35"/>
  <c r="S35" i="32" l="1"/>
  <c r="S46" i="36"/>
  <c r="T32" i="35"/>
  <c r="T8" i="35" s="1"/>
  <c r="T10" i="35" s="1"/>
  <c r="T33" i="35"/>
  <c r="T78" i="30" l="1"/>
  <c r="T35" i="35"/>
  <c r="U31" i="35" s="1"/>
  <c r="T34" i="35"/>
  <c r="T18" i="35" l="1"/>
  <c r="T20" i="35" s="1"/>
  <c r="T44" i="36" s="1"/>
  <c r="U33" i="35"/>
  <c r="U32" i="35"/>
  <c r="T35" i="32" l="1"/>
  <c r="T46" i="36"/>
  <c r="U35" i="35"/>
  <c r="V31" i="35" s="1"/>
  <c r="U8" i="35"/>
  <c r="U10" i="35" s="1"/>
  <c r="U34" i="35"/>
  <c r="U18" i="35" l="1"/>
  <c r="U20" i="35" s="1"/>
  <c r="U44" i="36" s="1"/>
  <c r="U78" i="30"/>
  <c r="V32" i="35"/>
  <c r="V8" i="35" s="1"/>
  <c r="V33" i="35"/>
  <c r="U35" i="32" l="1"/>
  <c r="U46" i="36"/>
  <c r="V35" i="35"/>
  <c r="V10" i="35"/>
  <c r="X8" i="35"/>
  <c r="V34" i="35"/>
  <c r="V18" i="35" s="1"/>
  <c r="X10" i="35" l="1"/>
  <c r="V78" i="30"/>
  <c r="V20" i="35" l="1"/>
  <c r="X18" i="35"/>
  <c r="E78" i="30"/>
  <c r="E112" i="30" s="1"/>
  <c r="W78" i="30"/>
  <c r="V35" i="32" l="1"/>
  <c r="V44" i="36"/>
  <c r="X20" i="35"/>
  <c r="F112" i="30"/>
  <c r="W44" i="36" l="1"/>
  <c r="V46" i="36"/>
  <c r="W46" i="36" s="1"/>
  <c r="M113" i="30"/>
  <c r="Q113" i="30"/>
  <c r="U113" i="30"/>
  <c r="N113" i="30"/>
  <c r="R113" i="30"/>
  <c r="V113" i="30"/>
  <c r="L113" i="30"/>
  <c r="T113" i="30"/>
  <c r="O113" i="30"/>
  <c r="J113" i="30"/>
  <c r="P113" i="30"/>
  <c r="K113" i="30"/>
  <c r="S113" i="30"/>
  <c r="X40" i="34"/>
  <c r="X39" i="34"/>
  <c r="X38" i="34"/>
  <c r="X37" i="34"/>
  <c r="X36" i="34"/>
  <c r="X35" i="34"/>
  <c r="X34" i="34"/>
  <c r="X33" i="34"/>
  <c r="X32" i="34"/>
  <c r="X31" i="34"/>
  <c r="X45" i="34" l="1"/>
  <c r="R46" i="31" l="1"/>
  <c r="S46" i="31"/>
  <c r="T46" i="31"/>
  <c r="U46" i="31"/>
  <c r="K46" i="31"/>
  <c r="L46" i="31"/>
  <c r="M46" i="31"/>
  <c r="J46" i="31"/>
  <c r="K37" i="32"/>
  <c r="L37" i="32"/>
  <c r="M37" i="32"/>
  <c r="N37" i="32"/>
  <c r="O37" i="32"/>
  <c r="P37" i="32"/>
  <c r="Q37" i="32"/>
  <c r="R37" i="32"/>
  <c r="S37" i="32"/>
  <c r="T37" i="32"/>
  <c r="U37" i="32"/>
  <c r="V37" i="32"/>
  <c r="J37" i="32"/>
  <c r="W37" i="32" l="1"/>
  <c r="V6" i="32"/>
  <c r="U6" i="32"/>
  <c r="T6" i="32"/>
  <c r="S6" i="32"/>
  <c r="R6" i="32"/>
  <c r="Q6" i="32"/>
  <c r="P6" i="32"/>
  <c r="O6" i="32"/>
  <c r="N6" i="32"/>
  <c r="M6" i="32"/>
  <c r="L6" i="32"/>
  <c r="K6" i="32"/>
  <c r="J6" i="32"/>
  <c r="G4" i="32"/>
  <c r="S4" i="32" s="1"/>
  <c r="S27" i="32" s="1"/>
  <c r="S29" i="32" s="1"/>
  <c r="T47" i="31"/>
  <c r="U47" i="31"/>
  <c r="U48" i="31"/>
  <c r="E85" i="33"/>
  <c r="I35" i="30"/>
  <c r="I46" i="30" s="1"/>
  <c r="I36" i="30"/>
  <c r="I47" i="30" s="1"/>
  <c r="I37" i="30"/>
  <c r="I48" i="30" s="1"/>
  <c r="I38" i="30"/>
  <c r="I49" i="30" s="1"/>
  <c r="I39" i="30"/>
  <c r="I50" i="30" s="1"/>
  <c r="I40" i="30"/>
  <c r="I51" i="30" s="1"/>
  <c r="I41" i="30"/>
  <c r="I52" i="30" s="1"/>
  <c r="I42" i="30"/>
  <c r="I53" i="30" s="1"/>
  <c r="I43" i="30"/>
  <c r="I54" i="30" s="1"/>
  <c r="I34" i="30"/>
  <c r="I10" i="30"/>
  <c r="I21" i="30" s="1"/>
  <c r="I11" i="30"/>
  <c r="I22" i="30" s="1"/>
  <c r="I12" i="30"/>
  <c r="I23" i="30" s="1"/>
  <c r="I13" i="30"/>
  <c r="I24" i="30" s="1"/>
  <c r="I14" i="30"/>
  <c r="I25" i="30" s="1"/>
  <c r="I15" i="30"/>
  <c r="I26" i="30" s="1"/>
  <c r="I16" i="30"/>
  <c r="I27" i="30" s="1"/>
  <c r="I17" i="30"/>
  <c r="I28" i="30" s="1"/>
  <c r="I18" i="30"/>
  <c r="I29" i="30" s="1"/>
  <c r="I9" i="30"/>
  <c r="I20" i="30" s="1"/>
  <c r="H9" i="30"/>
  <c r="H20" i="30" s="1"/>
  <c r="J76" i="33"/>
  <c r="J9" i="33"/>
  <c r="J85" i="33" l="1"/>
  <c r="K85" i="33"/>
  <c r="L85" i="33"/>
  <c r="M85" i="33"/>
  <c r="N85" i="33"/>
  <c r="O85" i="33"/>
  <c r="P85" i="33"/>
  <c r="Q85" i="33"/>
  <c r="R85" i="33"/>
  <c r="S85" i="33"/>
  <c r="T85" i="33"/>
  <c r="U85" i="33"/>
  <c r="V85" i="33"/>
  <c r="AB35" i="32"/>
  <c r="AB33" i="32"/>
  <c r="AB37" i="32"/>
  <c r="I45" i="30"/>
  <c r="L4" i="32"/>
  <c r="L27" i="32" s="1"/>
  <c r="L29" i="32" s="1"/>
  <c r="W24" i="32"/>
  <c r="P4" i="32"/>
  <c r="P27" i="32" s="1"/>
  <c r="P29" i="32" s="1"/>
  <c r="W35" i="32"/>
  <c r="T4" i="32"/>
  <c r="T27" i="32" s="1"/>
  <c r="T29" i="32" s="1"/>
  <c r="M4" i="32"/>
  <c r="M27" i="32" s="1"/>
  <c r="M29" i="32" s="1"/>
  <c r="Q4" i="32"/>
  <c r="Q27" i="32" s="1"/>
  <c r="Q29" i="32" s="1"/>
  <c r="U4" i="32"/>
  <c r="U27" i="32" s="1"/>
  <c r="U29" i="32" s="1"/>
  <c r="J4" i="32"/>
  <c r="J27" i="32" s="1"/>
  <c r="J29" i="32" s="1"/>
  <c r="N4" i="32"/>
  <c r="N27" i="32" s="1"/>
  <c r="N29" i="32" s="1"/>
  <c r="R4" i="32"/>
  <c r="R27" i="32" s="1"/>
  <c r="R29" i="32" s="1"/>
  <c r="V4" i="32"/>
  <c r="V27" i="32" s="1"/>
  <c r="V29" i="32" s="1"/>
  <c r="K4" i="32"/>
  <c r="O4" i="32"/>
  <c r="O27" i="32" s="1"/>
  <c r="O29" i="32" s="1"/>
  <c r="J78" i="33"/>
  <c r="J11" i="33"/>
  <c r="Q59" i="33"/>
  <c r="R59" i="33"/>
  <c r="S59" i="33"/>
  <c r="T59" i="33"/>
  <c r="U59" i="33"/>
  <c r="R60" i="33"/>
  <c r="S60" i="33"/>
  <c r="T60" i="33"/>
  <c r="U60" i="33"/>
  <c r="S61" i="33"/>
  <c r="T61" i="33"/>
  <c r="U61" i="33"/>
  <c r="T62" i="33"/>
  <c r="U62" i="33"/>
  <c r="U63" i="33"/>
  <c r="P58" i="33"/>
  <c r="Q58" i="33"/>
  <c r="R58" i="33"/>
  <c r="S58" i="33"/>
  <c r="T58" i="33"/>
  <c r="U58" i="33"/>
  <c r="O57" i="33"/>
  <c r="P57" i="33"/>
  <c r="Q57" i="33"/>
  <c r="R57" i="33"/>
  <c r="S57" i="33"/>
  <c r="T57" i="33"/>
  <c r="U57" i="33"/>
  <c r="N56" i="33"/>
  <c r="O56" i="33"/>
  <c r="P56" i="33"/>
  <c r="Q56" i="33"/>
  <c r="R56" i="33"/>
  <c r="S56" i="33"/>
  <c r="T56" i="33"/>
  <c r="U56" i="33"/>
  <c r="M55" i="33"/>
  <c r="N55" i="33"/>
  <c r="O55" i="33"/>
  <c r="P55" i="33"/>
  <c r="Q55" i="33"/>
  <c r="R55" i="33"/>
  <c r="S55" i="33"/>
  <c r="T55" i="33"/>
  <c r="U55" i="33"/>
  <c r="K53" i="33"/>
  <c r="L47" i="31" s="1"/>
  <c r="L53" i="33"/>
  <c r="M47" i="31" s="1"/>
  <c r="M53" i="33"/>
  <c r="N53" i="33"/>
  <c r="O53" i="33"/>
  <c r="P53" i="33"/>
  <c r="Q53" i="33"/>
  <c r="R53" i="33"/>
  <c r="S53" i="33"/>
  <c r="T53" i="33"/>
  <c r="U53" i="33"/>
  <c r="L54" i="33"/>
  <c r="M48" i="31" s="1"/>
  <c r="M54" i="33"/>
  <c r="N54" i="33"/>
  <c r="O54" i="33"/>
  <c r="P54" i="33"/>
  <c r="Q54" i="33"/>
  <c r="R54" i="33"/>
  <c r="S54" i="33"/>
  <c r="T54" i="33"/>
  <c r="U54" i="33"/>
  <c r="F78" i="28"/>
  <c r="F77" i="28"/>
  <c r="K27" i="32" l="1"/>
  <c r="K29" i="32" s="1"/>
  <c r="K9" i="33"/>
  <c r="K11" i="33" s="1"/>
  <c r="L9" i="33" s="1"/>
  <c r="L11" i="33" s="1"/>
  <c r="M9" i="33" s="1"/>
  <c r="M11" i="33" s="1"/>
  <c r="N9" i="33" s="1"/>
  <c r="K76" i="33"/>
  <c r="K78" i="33" s="1"/>
  <c r="L76" i="33" s="1"/>
  <c r="L78" i="33" s="1"/>
  <c r="M76" i="33" s="1"/>
  <c r="M78" i="33" s="1"/>
  <c r="K6" i="31"/>
  <c r="L6" i="31"/>
  <c r="M6" i="31"/>
  <c r="N6" i="31"/>
  <c r="O6" i="31"/>
  <c r="P6" i="31"/>
  <c r="Q6" i="31"/>
  <c r="R6" i="31"/>
  <c r="S6" i="31"/>
  <c r="T6" i="31"/>
  <c r="U6" i="31"/>
  <c r="V6" i="31"/>
  <c r="J6" i="31"/>
  <c r="W39" i="31"/>
  <c r="AB27" i="32" l="1"/>
  <c r="W27" i="32"/>
  <c r="N76" i="33"/>
  <c r="N78" i="33" s="1"/>
  <c r="O76" i="33" s="1"/>
  <c r="O78" i="33" s="1"/>
  <c r="P76" i="33" s="1"/>
  <c r="P78" i="33" s="1"/>
  <c r="Q76" i="33" s="1"/>
  <c r="Q78" i="33" s="1"/>
  <c r="R76" i="33" s="1"/>
  <c r="R78" i="33" s="1"/>
  <c r="S76" i="33" s="1"/>
  <c r="S78" i="33" s="1"/>
  <c r="T76" i="33" s="1"/>
  <c r="T78" i="33" s="1"/>
  <c r="U76" i="33" s="1"/>
  <c r="U78" i="33" s="1"/>
  <c r="V76" i="33" s="1"/>
  <c r="V78" i="33" s="1"/>
  <c r="I120" i="33" s="1" a="1"/>
  <c r="N11" i="33"/>
  <c r="O9" i="33" l="1"/>
  <c r="O11" i="33" s="1"/>
  <c r="P9" i="33" s="1"/>
  <c r="I104" i="33" a="1"/>
  <c r="I104" i="33" s="1"/>
  <c r="I132" i="33"/>
  <c r="R59" i="31" s="1"/>
  <c r="I128" i="33"/>
  <c r="R55" i="31" s="1"/>
  <c r="I124" i="33"/>
  <c r="R51" i="31" s="1"/>
  <c r="I120" i="33"/>
  <c r="R47" i="31" s="1"/>
  <c r="I131" i="33"/>
  <c r="R58" i="31" s="1"/>
  <c r="I127" i="33"/>
  <c r="R54" i="31" s="1"/>
  <c r="I123" i="33"/>
  <c r="R50" i="31" s="1"/>
  <c r="I130" i="33"/>
  <c r="R57" i="31" s="1"/>
  <c r="I126" i="33"/>
  <c r="R53" i="31" s="1"/>
  <c r="I122" i="33"/>
  <c r="R49" i="31" s="1"/>
  <c r="I129" i="33"/>
  <c r="R56" i="31" s="1"/>
  <c r="I125" i="33"/>
  <c r="R52" i="31" s="1"/>
  <c r="I121" i="33"/>
  <c r="R48" i="31" s="1"/>
  <c r="J34" i="31"/>
  <c r="I109" i="33" l="1"/>
  <c r="I107" i="33"/>
  <c r="I108" i="33"/>
  <c r="I106" i="33"/>
  <c r="I111" i="33"/>
  <c r="I112" i="33"/>
  <c r="I116" i="33"/>
  <c r="I113" i="33"/>
  <c r="I110" i="33"/>
  <c r="I115" i="33"/>
  <c r="I105" i="33"/>
  <c r="I114" i="33"/>
  <c r="P11" i="33"/>
  <c r="Q9" i="33" s="1"/>
  <c r="E4" i="31"/>
  <c r="K4" i="31" s="1"/>
  <c r="K10" i="31" s="1"/>
  <c r="E3" i="29"/>
  <c r="J3" i="29" s="1"/>
  <c r="H16" i="30"/>
  <c r="H27" i="30" s="1"/>
  <c r="H17" i="30"/>
  <c r="H28" i="30" s="1"/>
  <c r="H18" i="30"/>
  <c r="H29" i="30" s="1"/>
  <c r="H34" i="30"/>
  <c r="H45" i="30" s="1"/>
  <c r="H35" i="30"/>
  <c r="H46" i="30" s="1"/>
  <c r="H36" i="30"/>
  <c r="H47" i="30" s="1"/>
  <c r="H37" i="30"/>
  <c r="H48" i="30" s="1"/>
  <c r="H38" i="30"/>
  <c r="H49" i="30" s="1"/>
  <c r="H39" i="30"/>
  <c r="H50" i="30" s="1"/>
  <c r="H40" i="30"/>
  <c r="H51" i="30" s="1"/>
  <c r="H41" i="30"/>
  <c r="H52" i="30" s="1"/>
  <c r="H42" i="30"/>
  <c r="H53" i="30" s="1"/>
  <c r="H43" i="30"/>
  <c r="H54" i="30" s="1"/>
  <c r="G16" i="30"/>
  <c r="G27" i="30" s="1"/>
  <c r="G17" i="30"/>
  <c r="G18" i="30"/>
  <c r="G29" i="30" s="1"/>
  <c r="G34" i="30"/>
  <c r="G35" i="30"/>
  <c r="G46" i="30" s="1"/>
  <c r="G36" i="30"/>
  <c r="G47" i="30" s="1"/>
  <c r="G37" i="30"/>
  <c r="G48" i="30" s="1"/>
  <c r="G38" i="30"/>
  <c r="G49" i="30" s="1"/>
  <c r="G39" i="30"/>
  <c r="G50" i="30" s="1"/>
  <c r="G40" i="30"/>
  <c r="G51" i="30" s="1"/>
  <c r="G41" i="30"/>
  <c r="G52" i="30" s="1"/>
  <c r="G42" i="30"/>
  <c r="G53" i="30" s="1"/>
  <c r="G43" i="30"/>
  <c r="G54" i="30" s="1"/>
  <c r="H10" i="30"/>
  <c r="H21" i="30" s="1"/>
  <c r="H11" i="30"/>
  <c r="H22" i="30" s="1"/>
  <c r="H12" i="30"/>
  <c r="H23" i="30" s="1"/>
  <c r="H13" i="30"/>
  <c r="H24" i="30" s="1"/>
  <c r="H14" i="30"/>
  <c r="H25" i="30" s="1"/>
  <c r="H15" i="30"/>
  <c r="H26" i="30" s="1"/>
  <c r="G10" i="30"/>
  <c r="G21" i="30" s="1"/>
  <c r="G11" i="30"/>
  <c r="G22" i="30" s="1"/>
  <c r="G12" i="30"/>
  <c r="G23" i="30" s="1"/>
  <c r="G13" i="30"/>
  <c r="G24" i="30" s="1"/>
  <c r="G14" i="30"/>
  <c r="G25" i="30" s="1"/>
  <c r="G15" i="30"/>
  <c r="G26" i="30" s="1"/>
  <c r="G9" i="30"/>
  <c r="G20" i="30" s="1"/>
  <c r="F9" i="30"/>
  <c r="F20" i="30" s="1"/>
  <c r="E17" i="30"/>
  <c r="E28" i="30" s="1"/>
  <c r="D38" i="29"/>
  <c r="D36" i="29"/>
  <c r="E36" i="29"/>
  <c r="E31" i="29"/>
  <c r="E38" i="29" s="1"/>
  <c r="E7" i="29"/>
  <c r="J29" i="29" a="1"/>
  <c r="J29" i="29" s="1"/>
  <c r="J25" i="29" a="1"/>
  <c r="J25" i="29" s="1"/>
  <c r="E24" i="29"/>
  <c r="K89" i="30" l="1"/>
  <c r="O89" i="30"/>
  <c r="S89" i="30"/>
  <c r="J89" i="30"/>
  <c r="N86" i="30"/>
  <c r="R86" i="30"/>
  <c r="V86" i="30"/>
  <c r="L89" i="30"/>
  <c r="P89" i="30"/>
  <c r="T89" i="30"/>
  <c r="K86" i="30"/>
  <c r="O86" i="30"/>
  <c r="S86" i="30"/>
  <c r="J86" i="30"/>
  <c r="M89" i="30"/>
  <c r="Q89" i="30"/>
  <c r="U89" i="30"/>
  <c r="L86" i="30"/>
  <c r="P86" i="30"/>
  <c r="T86" i="30"/>
  <c r="N89" i="30"/>
  <c r="R89" i="30"/>
  <c r="V89" i="30"/>
  <c r="M86" i="30"/>
  <c r="Q86" i="30"/>
  <c r="U86" i="30"/>
  <c r="F36" i="29"/>
  <c r="J53" i="29"/>
  <c r="J52" i="29"/>
  <c r="D20" i="30"/>
  <c r="G28" i="30"/>
  <c r="M116" i="30"/>
  <c r="Q116" i="30"/>
  <c r="U116" i="30"/>
  <c r="M117" i="30"/>
  <c r="Q117" i="30"/>
  <c r="U117" i="30"/>
  <c r="P116" i="30"/>
  <c r="P117" i="30"/>
  <c r="N116" i="30"/>
  <c r="R116" i="30"/>
  <c r="V116" i="30"/>
  <c r="N117" i="30"/>
  <c r="R117" i="30"/>
  <c r="V117" i="30"/>
  <c r="L116" i="30"/>
  <c r="L117" i="30"/>
  <c r="J116" i="30"/>
  <c r="K116" i="30"/>
  <c r="O116" i="30"/>
  <c r="S116" i="30"/>
  <c r="K117" i="30"/>
  <c r="O117" i="30"/>
  <c r="S117" i="30"/>
  <c r="J117" i="30"/>
  <c r="T116" i="30"/>
  <c r="T117" i="30"/>
  <c r="V24" i="29"/>
  <c r="G45" i="30"/>
  <c r="L17" i="30"/>
  <c r="P17" i="30"/>
  <c r="T17" i="30"/>
  <c r="N17" i="30"/>
  <c r="V17" i="30"/>
  <c r="J17" i="30"/>
  <c r="M17" i="30"/>
  <c r="Q17" i="30"/>
  <c r="U17" i="30"/>
  <c r="R17" i="30"/>
  <c r="K17" i="30"/>
  <c r="O17" i="30"/>
  <c r="S17" i="30"/>
  <c r="Q11" i="33"/>
  <c r="R4" i="31"/>
  <c r="R10" i="31" s="1"/>
  <c r="Q4" i="31"/>
  <c r="Q10" i="31" s="1"/>
  <c r="V4" i="31"/>
  <c r="V10" i="31" s="1"/>
  <c r="N4" i="31"/>
  <c r="N10" i="31" s="1"/>
  <c r="U4" i="31"/>
  <c r="U10" i="31" s="1"/>
  <c r="M4" i="31"/>
  <c r="M10" i="31" s="1"/>
  <c r="T4" i="31"/>
  <c r="T10" i="31" s="1"/>
  <c r="P4" i="31"/>
  <c r="P10" i="31" s="1"/>
  <c r="L4" i="31"/>
  <c r="L10" i="31" s="1"/>
  <c r="J4" i="31"/>
  <c r="J10" i="31" s="1"/>
  <c r="S4" i="31"/>
  <c r="S10" i="31" s="1"/>
  <c r="O4" i="31"/>
  <c r="O10" i="31" s="1"/>
  <c r="K38" i="29"/>
  <c r="J36" i="29"/>
  <c r="Q29" i="29"/>
  <c r="Q31" i="29" s="1"/>
  <c r="Q33" i="29" s="1"/>
  <c r="P38" i="29"/>
  <c r="N38" i="29"/>
  <c r="M29" i="29"/>
  <c r="J31" i="29"/>
  <c r="J33" i="29" s="1"/>
  <c r="U29" i="29"/>
  <c r="L24" i="29"/>
  <c r="T24" i="29"/>
  <c r="O24" i="29"/>
  <c r="T29" i="29"/>
  <c r="P29" i="29"/>
  <c r="L29" i="29"/>
  <c r="J24" i="29"/>
  <c r="P24" i="29"/>
  <c r="K29" i="29"/>
  <c r="S29" i="29"/>
  <c r="O29" i="29"/>
  <c r="K24" i="29"/>
  <c r="S24" i="29"/>
  <c r="V29" i="29"/>
  <c r="R29" i="29"/>
  <c r="N29" i="29"/>
  <c r="U25" i="29"/>
  <c r="Q25" i="29"/>
  <c r="M25" i="29"/>
  <c r="T25" i="29"/>
  <c r="P25" i="29"/>
  <c r="L25" i="29"/>
  <c r="S25" i="29"/>
  <c r="O25" i="29"/>
  <c r="K25" i="29"/>
  <c r="V25" i="29"/>
  <c r="R25" i="29"/>
  <c r="N25" i="29"/>
  <c r="M24" i="29"/>
  <c r="Q24" i="29"/>
  <c r="U24" i="29"/>
  <c r="N24" i="29"/>
  <c r="R24" i="29"/>
  <c r="D30" i="25"/>
  <c r="J44" i="29" l="1"/>
  <c r="J55" i="29" s="1"/>
  <c r="K36" i="29"/>
  <c r="K52" i="29"/>
  <c r="K53" i="29"/>
  <c r="P36" i="29"/>
  <c r="P52" i="29"/>
  <c r="P53" i="29"/>
  <c r="N36" i="29"/>
  <c r="N52" i="29"/>
  <c r="N53" i="29"/>
  <c r="O36" i="29"/>
  <c r="O52" i="29"/>
  <c r="O53" i="29"/>
  <c r="T36" i="29"/>
  <c r="T44" i="29" s="1"/>
  <c r="T52" i="29"/>
  <c r="T53" i="29"/>
  <c r="R36" i="29"/>
  <c r="R52" i="29"/>
  <c r="R53" i="29"/>
  <c r="S36" i="29"/>
  <c r="S44" i="29" s="1"/>
  <c r="S52" i="29"/>
  <c r="S53" i="29"/>
  <c r="M36" i="29"/>
  <c r="M53" i="29"/>
  <c r="M52" i="29"/>
  <c r="U36" i="29"/>
  <c r="U44" i="29" s="1"/>
  <c r="U52" i="29"/>
  <c r="U53" i="29"/>
  <c r="V36" i="29"/>
  <c r="V52" i="29"/>
  <c r="V53" i="29"/>
  <c r="L36" i="29"/>
  <c r="L53" i="29"/>
  <c r="L52" i="29"/>
  <c r="Q36" i="29"/>
  <c r="Q52" i="29"/>
  <c r="Q53" i="29"/>
  <c r="M38" i="29"/>
  <c r="S38" i="29"/>
  <c r="L38" i="29"/>
  <c r="U38" i="29"/>
  <c r="R38" i="29"/>
  <c r="R9" i="33"/>
  <c r="R11" i="33" s="1"/>
  <c r="Q38" i="29"/>
  <c r="O38" i="29"/>
  <c r="V38" i="29"/>
  <c r="J38" i="29"/>
  <c r="J40" i="29" s="1"/>
  <c r="T38" i="29"/>
  <c r="V31" i="29"/>
  <c r="V33" i="29" s="1"/>
  <c r="S31" i="29"/>
  <c r="S33" i="29" s="1"/>
  <c r="L31" i="29"/>
  <c r="L33" i="29" s="1"/>
  <c r="M31" i="29"/>
  <c r="M33" i="29" s="1"/>
  <c r="K31" i="29"/>
  <c r="K33" i="29" s="1"/>
  <c r="P31" i="29"/>
  <c r="P33" i="29" s="1"/>
  <c r="N31" i="29"/>
  <c r="N33" i="29" s="1"/>
  <c r="T31" i="29"/>
  <c r="T33" i="29" s="1"/>
  <c r="U31" i="29"/>
  <c r="U33" i="29" s="1"/>
  <c r="R31" i="29"/>
  <c r="R33" i="29" s="1"/>
  <c r="O31" i="29"/>
  <c r="O33" i="29" s="1"/>
  <c r="W25" i="29"/>
  <c r="E4" i="25"/>
  <c r="L4" i="25" s="1"/>
  <c r="E61" i="30"/>
  <c r="T55" i="29" l="1"/>
  <c r="T40" i="29"/>
  <c r="U40" i="29"/>
  <c r="U42" i="29" s="1"/>
  <c r="O40" i="29"/>
  <c r="O42" i="29" s="1"/>
  <c r="V44" i="29"/>
  <c r="V55" i="29" s="1"/>
  <c r="V40" i="29"/>
  <c r="V42" i="29" s="1"/>
  <c r="K40" i="29"/>
  <c r="K42" i="29" s="1"/>
  <c r="O44" i="29"/>
  <c r="O55" i="29" s="1"/>
  <c r="K44" i="29"/>
  <c r="K55" i="29" s="1"/>
  <c r="L44" i="29"/>
  <c r="L55" i="29" s="1"/>
  <c r="L40" i="29"/>
  <c r="L46" i="29" s="1"/>
  <c r="L56" i="29" s="1"/>
  <c r="L59" i="29" s="1"/>
  <c r="R44" i="29"/>
  <c r="R55" i="29" s="1"/>
  <c r="R40" i="29"/>
  <c r="R42" i="29" s="1"/>
  <c r="P44" i="29"/>
  <c r="P55" i="29" s="1"/>
  <c r="P40" i="29"/>
  <c r="P42" i="29" s="1"/>
  <c r="M40" i="29"/>
  <c r="M42" i="29" s="1"/>
  <c r="M44" i="29"/>
  <c r="M55" i="29" s="1"/>
  <c r="J42" i="29"/>
  <c r="Q44" i="29"/>
  <c r="Q55" i="29" s="1"/>
  <c r="Q40" i="29"/>
  <c r="Q42" i="29" s="1"/>
  <c r="S40" i="29"/>
  <c r="S42" i="29" s="1"/>
  <c r="N44" i="29"/>
  <c r="N55" i="29" s="1"/>
  <c r="N40" i="29"/>
  <c r="N42" i="29" s="1"/>
  <c r="T42" i="29"/>
  <c r="U55" i="29"/>
  <c r="W53" i="29"/>
  <c r="S55" i="29"/>
  <c r="W52" i="29"/>
  <c r="W36" i="29"/>
  <c r="J61" i="30"/>
  <c r="N61" i="30"/>
  <c r="R61" i="30"/>
  <c r="V61" i="30"/>
  <c r="K61" i="30"/>
  <c r="O61" i="30"/>
  <c r="S61" i="30"/>
  <c r="L61" i="30"/>
  <c r="P61" i="30"/>
  <c r="T61" i="30"/>
  <c r="M61" i="30"/>
  <c r="Q61" i="30"/>
  <c r="U61" i="30"/>
  <c r="W38" i="29"/>
  <c r="S9" i="33"/>
  <c r="S11" i="33" s="1"/>
  <c r="T9" i="33" s="1"/>
  <c r="J46" i="29"/>
  <c r="T46" i="29"/>
  <c r="T56" i="29" s="1"/>
  <c r="T59" i="29" s="1"/>
  <c r="N4" i="25"/>
  <c r="H4" i="25"/>
  <c r="Q4" i="25"/>
  <c r="I4" i="25"/>
  <c r="S4" i="25"/>
  <c r="O4" i="25"/>
  <c r="K4" i="25"/>
  <c r="R4" i="25"/>
  <c r="J4" i="25"/>
  <c r="M4" i="25"/>
  <c r="T4" i="25"/>
  <c r="P4" i="25"/>
  <c r="K46" i="29" l="1"/>
  <c r="K56" i="29" s="1"/>
  <c r="K59" i="29" s="1"/>
  <c r="U46" i="29"/>
  <c r="U56" i="29" s="1"/>
  <c r="U59" i="29" s="1"/>
  <c r="W44" i="29"/>
  <c r="E69" i="29" s="1"/>
  <c r="L42" i="29"/>
  <c r="N46" i="29"/>
  <c r="N56" i="29" s="1"/>
  <c r="N59" i="29" s="1"/>
  <c r="M46" i="29"/>
  <c r="M56" i="29" s="1"/>
  <c r="M59" i="29" s="1"/>
  <c r="P46" i="29"/>
  <c r="P56" i="29" s="1"/>
  <c r="P59" i="29" s="1"/>
  <c r="O46" i="29"/>
  <c r="O56" i="29" s="1"/>
  <c r="O59" i="29" s="1"/>
  <c r="V46" i="29"/>
  <c r="R46" i="29"/>
  <c r="R56" i="29" s="1"/>
  <c r="R59" i="29" s="1"/>
  <c r="W55" i="29"/>
  <c r="Q46" i="29"/>
  <c r="Q56" i="29" s="1"/>
  <c r="Q59" i="29" s="1"/>
  <c r="W40" i="29"/>
  <c r="W42" i="29" s="1"/>
  <c r="J56" i="29"/>
  <c r="S46" i="29"/>
  <c r="S56" i="29" s="1"/>
  <c r="S59" i="29" s="1"/>
  <c r="U48" i="29"/>
  <c r="J48" i="29"/>
  <c r="N48" i="29"/>
  <c r="T11" i="33"/>
  <c r="U9" i="33" s="1"/>
  <c r="J50" i="29"/>
  <c r="L50" i="29"/>
  <c r="L48" i="29"/>
  <c r="M48" i="29"/>
  <c r="K50" i="29"/>
  <c r="K48" i="29"/>
  <c r="T50" i="29"/>
  <c r="T48" i="29"/>
  <c r="O48" i="29"/>
  <c r="W61" i="30"/>
  <c r="R50" i="29" l="1"/>
  <c r="U50" i="29"/>
  <c r="O50" i="29"/>
  <c r="N50" i="29"/>
  <c r="E64" i="29"/>
  <c r="M50" i="29"/>
  <c r="P48" i="29"/>
  <c r="R48" i="29"/>
  <c r="S48" i="29"/>
  <c r="V56" i="29"/>
  <c r="V59" i="29" s="1"/>
  <c r="V48" i="29"/>
  <c r="Q48" i="29"/>
  <c r="P50" i="29"/>
  <c r="V50" i="29"/>
  <c r="Q50" i="29"/>
  <c r="W46" i="29"/>
  <c r="W50" i="29" s="1"/>
  <c r="J59" i="29"/>
  <c r="S50" i="29"/>
  <c r="U11" i="33"/>
  <c r="V9" i="33" s="1"/>
  <c r="V11" i="33" s="1"/>
  <c r="D34" i="25"/>
  <c r="D35" i="25"/>
  <c r="D36" i="25"/>
  <c r="D37" i="25"/>
  <c r="D38" i="25"/>
  <c r="D39" i="25"/>
  <c r="D40" i="25"/>
  <c r="D41" i="25"/>
  <c r="D42" i="25"/>
  <c r="C42" i="25" s="1"/>
  <c r="D33" i="25"/>
  <c r="D24" i="25"/>
  <c r="D25" i="25"/>
  <c r="D26" i="25"/>
  <c r="D27" i="25"/>
  <c r="D28" i="25"/>
  <c r="D29" i="25"/>
  <c r="D31" i="25"/>
  <c r="D32" i="25"/>
  <c r="D23" i="25"/>
  <c r="C23" i="25" s="1"/>
  <c r="C9" i="30"/>
  <c r="C20" i="30" s="1"/>
  <c r="E3" i="30"/>
  <c r="U3" i="30" s="1"/>
  <c r="K3" i="29"/>
  <c r="F35" i="30"/>
  <c r="F46" i="30" s="1"/>
  <c r="D46" i="30" s="1"/>
  <c r="F36" i="30"/>
  <c r="F47" i="30" s="1"/>
  <c r="D47" i="30" s="1"/>
  <c r="F37" i="30"/>
  <c r="F48" i="30" s="1"/>
  <c r="D48" i="30" s="1"/>
  <c r="F38" i="30"/>
  <c r="F49" i="30" s="1"/>
  <c r="D49" i="30" s="1"/>
  <c r="F39" i="30"/>
  <c r="F50" i="30" s="1"/>
  <c r="D50" i="30" s="1"/>
  <c r="F40" i="30"/>
  <c r="F51" i="30" s="1"/>
  <c r="D51" i="30" s="1"/>
  <c r="F41" i="30"/>
  <c r="F52" i="30" s="1"/>
  <c r="D52" i="30" s="1"/>
  <c r="F42" i="30"/>
  <c r="F53" i="30" s="1"/>
  <c r="D53" i="30" s="1"/>
  <c r="F43" i="30"/>
  <c r="F54" i="30" s="1"/>
  <c r="D54" i="30" s="1"/>
  <c r="F34" i="30"/>
  <c r="F45" i="30" s="1"/>
  <c r="D45" i="30" s="1"/>
  <c r="F10" i="30"/>
  <c r="F21" i="30" s="1"/>
  <c r="D21" i="30" s="1"/>
  <c r="F11" i="30"/>
  <c r="F22" i="30" s="1"/>
  <c r="D22" i="30" s="1"/>
  <c r="F12" i="30"/>
  <c r="F23" i="30" s="1"/>
  <c r="D23" i="30" s="1"/>
  <c r="F13" i="30"/>
  <c r="F24" i="30" s="1"/>
  <c r="D24" i="30" s="1"/>
  <c r="F14" i="30"/>
  <c r="F25" i="30" s="1"/>
  <c r="D25" i="30" s="1"/>
  <c r="F15" i="30"/>
  <c r="F26" i="30" s="1"/>
  <c r="D26" i="30" s="1"/>
  <c r="F16" i="30"/>
  <c r="F27" i="30" s="1"/>
  <c r="D27" i="30" s="1"/>
  <c r="F17" i="30"/>
  <c r="F28" i="30" s="1"/>
  <c r="D28" i="30" s="1"/>
  <c r="F18" i="30"/>
  <c r="F29" i="30" s="1"/>
  <c r="D29" i="30" s="1"/>
  <c r="E35" i="30"/>
  <c r="E46" i="30" s="1"/>
  <c r="E36" i="30"/>
  <c r="E47" i="30" s="1"/>
  <c r="E37" i="30"/>
  <c r="E48" i="30" s="1"/>
  <c r="E38" i="30"/>
  <c r="E49" i="30" s="1"/>
  <c r="E39" i="30"/>
  <c r="E50" i="30" s="1"/>
  <c r="E34" i="30"/>
  <c r="E45" i="30" s="1"/>
  <c r="C43" i="30"/>
  <c r="C54" i="30" s="1"/>
  <c r="C35" i="30"/>
  <c r="C46" i="30" s="1"/>
  <c r="C36" i="30"/>
  <c r="C47" i="30" s="1"/>
  <c r="C37" i="30"/>
  <c r="C48" i="30" s="1"/>
  <c r="C38" i="30"/>
  <c r="C49" i="30" s="1"/>
  <c r="C39" i="30"/>
  <c r="C50" i="30" s="1"/>
  <c r="C40" i="30"/>
  <c r="C51" i="30" s="1"/>
  <c r="C41" i="30"/>
  <c r="C52" i="30" s="1"/>
  <c r="C42" i="30"/>
  <c r="C53" i="30" s="1"/>
  <c r="C34" i="30"/>
  <c r="C45" i="30" s="1"/>
  <c r="E10" i="30"/>
  <c r="E21" i="30" s="1"/>
  <c r="E11" i="30"/>
  <c r="E22" i="30" s="1"/>
  <c r="E12" i="30"/>
  <c r="E23" i="30" s="1"/>
  <c r="E13" i="30"/>
  <c r="E24" i="30" s="1"/>
  <c r="E14" i="30"/>
  <c r="E25" i="30" s="1"/>
  <c r="E18" i="30"/>
  <c r="E29" i="30" s="1"/>
  <c r="E9" i="30"/>
  <c r="E20" i="30" s="1"/>
  <c r="C10" i="30"/>
  <c r="C21" i="30" s="1"/>
  <c r="C11" i="30"/>
  <c r="C22" i="30" s="1"/>
  <c r="C12" i="30"/>
  <c r="C23" i="30" s="1"/>
  <c r="C13" i="30"/>
  <c r="C24" i="30" s="1"/>
  <c r="C14" i="30"/>
  <c r="C25" i="30" s="1"/>
  <c r="C15" i="30"/>
  <c r="C26" i="30" s="1"/>
  <c r="C16" i="30"/>
  <c r="C27" i="30" s="1"/>
  <c r="C17" i="30"/>
  <c r="C28" i="30" s="1"/>
  <c r="C18" i="30"/>
  <c r="C29" i="30" s="1"/>
  <c r="J4" i="30" a="1"/>
  <c r="T4" i="30" s="1"/>
  <c r="D11" i="29"/>
  <c r="J4" i="29" a="1"/>
  <c r="J4" i="29" s="1"/>
  <c r="D5" i="29"/>
  <c r="E5" i="29" s="1"/>
  <c r="W56" i="29" l="1"/>
  <c r="W59" i="29"/>
  <c r="K24" i="30"/>
  <c r="O24" i="30"/>
  <c r="S24" i="30"/>
  <c r="J24" i="30"/>
  <c r="L24" i="30"/>
  <c r="P24" i="30"/>
  <c r="T24" i="30"/>
  <c r="M24" i="30"/>
  <c r="U24" i="30"/>
  <c r="N24" i="30"/>
  <c r="V24" i="30"/>
  <c r="Q24" i="30"/>
  <c r="R24" i="30"/>
  <c r="K29" i="30"/>
  <c r="O29" i="30"/>
  <c r="S29" i="30"/>
  <c r="J29" i="30"/>
  <c r="L29" i="30"/>
  <c r="P29" i="30"/>
  <c r="T29" i="30"/>
  <c r="M29" i="30"/>
  <c r="U29" i="30"/>
  <c r="N29" i="30"/>
  <c r="V29" i="30"/>
  <c r="Q29" i="30"/>
  <c r="R29" i="30"/>
  <c r="K25" i="30"/>
  <c r="O25" i="30"/>
  <c r="S25" i="30"/>
  <c r="L25" i="30"/>
  <c r="P25" i="30"/>
  <c r="T25" i="30"/>
  <c r="Q25" i="30"/>
  <c r="R25" i="30"/>
  <c r="M25" i="30"/>
  <c r="U25" i="30"/>
  <c r="N25" i="30"/>
  <c r="V25" i="30"/>
  <c r="V125" i="30" s="1"/>
  <c r="J25" i="30"/>
  <c r="K21" i="30"/>
  <c r="O21" i="30"/>
  <c r="S21" i="30"/>
  <c r="L21" i="30"/>
  <c r="P21" i="30"/>
  <c r="T21" i="30"/>
  <c r="M21" i="30"/>
  <c r="Q21" i="30"/>
  <c r="U21" i="30"/>
  <c r="N21" i="30"/>
  <c r="R21" i="30"/>
  <c r="J21" i="30"/>
  <c r="V21" i="30"/>
  <c r="K27" i="30"/>
  <c r="O27" i="30"/>
  <c r="S27" i="30"/>
  <c r="L27" i="30"/>
  <c r="P27" i="30"/>
  <c r="T27" i="30"/>
  <c r="J27" i="30"/>
  <c r="Q27" i="30"/>
  <c r="R27" i="30"/>
  <c r="M27" i="30"/>
  <c r="U27" i="30"/>
  <c r="N27" i="30"/>
  <c r="V27" i="30"/>
  <c r="K23" i="30"/>
  <c r="O23" i="30"/>
  <c r="S23" i="30"/>
  <c r="L23" i="30"/>
  <c r="P23" i="30"/>
  <c r="T23" i="30"/>
  <c r="J23" i="30"/>
  <c r="M23" i="30"/>
  <c r="Q23" i="30"/>
  <c r="U23" i="30"/>
  <c r="V23" i="30"/>
  <c r="N23" i="30"/>
  <c r="R23" i="30"/>
  <c r="K20" i="30"/>
  <c r="L20" i="30"/>
  <c r="Q20" i="30"/>
  <c r="V20" i="30"/>
  <c r="O20" i="30"/>
  <c r="P20" i="30"/>
  <c r="U20" i="30"/>
  <c r="J20" i="30"/>
  <c r="M20" i="30"/>
  <c r="R20" i="30"/>
  <c r="S20" i="30"/>
  <c r="T20" i="30"/>
  <c r="N20" i="30"/>
  <c r="K26" i="30"/>
  <c r="O26" i="30"/>
  <c r="S26" i="30"/>
  <c r="L26" i="30"/>
  <c r="P26" i="30"/>
  <c r="T26" i="30"/>
  <c r="M26" i="30"/>
  <c r="U26" i="30"/>
  <c r="N26" i="30"/>
  <c r="V26" i="30"/>
  <c r="Q26" i="30"/>
  <c r="J26" i="30"/>
  <c r="R26" i="30"/>
  <c r="K22" i="30"/>
  <c r="O22" i="30"/>
  <c r="S22" i="30"/>
  <c r="L22" i="30"/>
  <c r="P22" i="30"/>
  <c r="T22" i="30"/>
  <c r="M22" i="30"/>
  <c r="Q22" i="30"/>
  <c r="U22" i="30"/>
  <c r="R22" i="30"/>
  <c r="R125" i="30" s="1"/>
  <c r="J22" i="30"/>
  <c r="V22" i="30"/>
  <c r="N22" i="30"/>
  <c r="O125" i="30"/>
  <c r="L28" i="30"/>
  <c r="P28" i="30"/>
  <c r="T28" i="30"/>
  <c r="J28" i="30"/>
  <c r="R28" i="30"/>
  <c r="K28" i="30"/>
  <c r="M28" i="30"/>
  <c r="Q28" i="30"/>
  <c r="U28" i="30"/>
  <c r="N28" i="30"/>
  <c r="V28" i="30"/>
  <c r="O28" i="30"/>
  <c r="S28" i="30"/>
  <c r="C69" i="29"/>
  <c r="C64" i="29"/>
  <c r="M9" i="30"/>
  <c r="Q9" i="30"/>
  <c r="U9" i="30"/>
  <c r="O9" i="30"/>
  <c r="J9" i="30"/>
  <c r="N9" i="30"/>
  <c r="R9" i="30"/>
  <c r="V9" i="30"/>
  <c r="K9" i="30"/>
  <c r="S9" i="30"/>
  <c r="L9" i="30"/>
  <c r="P9" i="30"/>
  <c r="T9" i="30"/>
  <c r="L18" i="30"/>
  <c r="P18" i="30"/>
  <c r="T18" i="30"/>
  <c r="R18" i="30"/>
  <c r="M18" i="30"/>
  <c r="Q18" i="30"/>
  <c r="U18" i="30"/>
  <c r="J18" i="30"/>
  <c r="N18" i="30"/>
  <c r="V18" i="30"/>
  <c r="O18" i="30"/>
  <c r="S18" i="30"/>
  <c r="K18" i="30"/>
  <c r="L13" i="30"/>
  <c r="P13" i="30"/>
  <c r="T13" i="30"/>
  <c r="N13" i="30"/>
  <c r="V13" i="30"/>
  <c r="J13" i="30"/>
  <c r="M13" i="30"/>
  <c r="Q13" i="30"/>
  <c r="U13" i="30"/>
  <c r="R13" i="30"/>
  <c r="K13" i="30"/>
  <c r="O13" i="30"/>
  <c r="S13" i="30"/>
  <c r="L10" i="30"/>
  <c r="P10" i="30"/>
  <c r="T10" i="30"/>
  <c r="J10" i="30"/>
  <c r="J49" i="30" s="1"/>
  <c r="R10" i="30"/>
  <c r="M10" i="30"/>
  <c r="Q10" i="30"/>
  <c r="U10" i="30"/>
  <c r="N10" i="30"/>
  <c r="V10" i="30"/>
  <c r="K10" i="30"/>
  <c r="O10" i="30"/>
  <c r="S10" i="30"/>
  <c r="L14" i="30"/>
  <c r="P14" i="30"/>
  <c r="T14" i="30"/>
  <c r="J14" i="30"/>
  <c r="R14" i="30"/>
  <c r="M14" i="30"/>
  <c r="Q14" i="30"/>
  <c r="U14" i="30"/>
  <c r="N14" i="30"/>
  <c r="V14" i="30"/>
  <c r="O14" i="30"/>
  <c r="S14" i="30"/>
  <c r="K14" i="30"/>
  <c r="J12" i="30"/>
  <c r="L12" i="30"/>
  <c r="P12" i="30"/>
  <c r="T12" i="30"/>
  <c r="R12" i="30"/>
  <c r="M12" i="30"/>
  <c r="Q12" i="30"/>
  <c r="U12" i="30"/>
  <c r="N12" i="30"/>
  <c r="V12" i="30"/>
  <c r="K12" i="30"/>
  <c r="O12" i="30"/>
  <c r="S12" i="30"/>
  <c r="L11" i="30"/>
  <c r="P11" i="30"/>
  <c r="P112" i="30" s="1"/>
  <c r="T11" i="30"/>
  <c r="N11" i="30"/>
  <c r="V11" i="30"/>
  <c r="M11" i="30"/>
  <c r="M112" i="30" s="1"/>
  <c r="Q11" i="30"/>
  <c r="U11" i="30"/>
  <c r="R11" i="30"/>
  <c r="J11" i="30"/>
  <c r="J112" i="30" s="1"/>
  <c r="K11" i="30"/>
  <c r="K112" i="30" s="1"/>
  <c r="O11" i="30"/>
  <c r="S11" i="30"/>
  <c r="U71" i="30"/>
  <c r="U100" i="30"/>
  <c r="I37" i="33" a="1"/>
  <c r="I53" i="33" a="1"/>
  <c r="C24" i="25"/>
  <c r="C25" i="25" s="1"/>
  <c r="M3" i="29"/>
  <c r="U3" i="29"/>
  <c r="K3" i="30"/>
  <c r="S3" i="30"/>
  <c r="R3" i="29"/>
  <c r="N3" i="30"/>
  <c r="V3" i="30"/>
  <c r="Q3" i="29"/>
  <c r="O3" i="30"/>
  <c r="V3" i="29"/>
  <c r="N3" i="29"/>
  <c r="J3" i="30"/>
  <c r="R3" i="30"/>
  <c r="L3" i="30"/>
  <c r="P3" i="30"/>
  <c r="T3" i="30"/>
  <c r="M3" i="30"/>
  <c r="Q3" i="30"/>
  <c r="T3" i="29"/>
  <c r="P3" i="29"/>
  <c r="L3" i="29"/>
  <c r="S3" i="29"/>
  <c r="O3" i="29"/>
  <c r="J5" i="29"/>
  <c r="J7" i="29" s="1"/>
  <c r="Q4" i="30"/>
  <c r="J4" i="30"/>
  <c r="N4" i="30"/>
  <c r="R4" i="30"/>
  <c r="V4" i="30"/>
  <c r="K4" i="30"/>
  <c r="O4" i="30"/>
  <c r="S4" i="30"/>
  <c r="M4" i="30"/>
  <c r="U4" i="30"/>
  <c r="L4" i="30"/>
  <c r="P4" i="30"/>
  <c r="E11" i="29"/>
  <c r="J15" i="29" s="1"/>
  <c r="M4" i="29"/>
  <c r="U4" i="29"/>
  <c r="Q4" i="29"/>
  <c r="T4" i="29"/>
  <c r="P4" i="29"/>
  <c r="L4" i="29"/>
  <c r="S4" i="29"/>
  <c r="O4" i="29"/>
  <c r="K4" i="29"/>
  <c r="V4" i="29"/>
  <c r="R4" i="29"/>
  <c r="N4" i="29"/>
  <c r="R112" i="30" l="1"/>
  <c r="L112" i="30"/>
  <c r="N112" i="30"/>
  <c r="U112" i="30"/>
  <c r="L125" i="30"/>
  <c r="S112" i="30"/>
  <c r="O112" i="30"/>
  <c r="Q112" i="30"/>
  <c r="T112" i="30"/>
  <c r="V112" i="30"/>
  <c r="J11" i="29"/>
  <c r="P11" i="29"/>
  <c r="K15" i="29"/>
  <c r="U11" i="29"/>
  <c r="M5" i="29"/>
  <c r="M7" i="29" s="1"/>
  <c r="M9" i="29" s="1"/>
  <c r="M15" i="29"/>
  <c r="N5" i="29"/>
  <c r="N7" i="29" s="1"/>
  <c r="N9" i="29" s="1"/>
  <c r="N15" i="29"/>
  <c r="S11" i="29"/>
  <c r="V11" i="29"/>
  <c r="Q11" i="29"/>
  <c r="P5" i="29"/>
  <c r="P7" i="29" s="1"/>
  <c r="P9" i="29" s="1"/>
  <c r="P15" i="29"/>
  <c r="O5" i="29"/>
  <c r="O7" i="29" s="1"/>
  <c r="O9" i="29" s="1"/>
  <c r="O15" i="29"/>
  <c r="R5" i="29"/>
  <c r="R7" i="29" s="1"/>
  <c r="R9" i="29" s="1"/>
  <c r="R15" i="29"/>
  <c r="Q5" i="29"/>
  <c r="Q7" i="29" s="1"/>
  <c r="Q9" i="29" s="1"/>
  <c r="Q15" i="29"/>
  <c r="T11" i="29"/>
  <c r="O11" i="29"/>
  <c r="R11" i="29"/>
  <c r="M11" i="29"/>
  <c r="T5" i="29"/>
  <c r="T7" i="29" s="1"/>
  <c r="T9" i="29" s="1"/>
  <c r="T13" i="29" s="1"/>
  <c r="T15" i="29"/>
  <c r="S5" i="29"/>
  <c r="S7" i="29" s="1"/>
  <c r="S9" i="29" s="1"/>
  <c r="S15" i="29"/>
  <c r="V5" i="29"/>
  <c r="V7" i="29" s="1"/>
  <c r="V9" i="29" s="1"/>
  <c r="V15" i="29"/>
  <c r="L5" i="29"/>
  <c r="L7" i="29" s="1"/>
  <c r="L9" i="29" s="1"/>
  <c r="L15" i="29"/>
  <c r="U5" i="29"/>
  <c r="U7" i="29" s="1"/>
  <c r="U9" i="29" s="1"/>
  <c r="U13" i="29" s="1"/>
  <c r="U15" i="29"/>
  <c r="L11" i="29"/>
  <c r="K11" i="29"/>
  <c r="N11" i="29"/>
  <c r="E5" i="30"/>
  <c r="J5" i="30" s="1"/>
  <c r="J6" i="30" s="1"/>
  <c r="H6" i="25" s="1"/>
  <c r="J50" i="30"/>
  <c r="U125" i="30"/>
  <c r="N125" i="30"/>
  <c r="S125" i="30"/>
  <c r="Q125" i="30"/>
  <c r="T125" i="30"/>
  <c r="K125" i="30"/>
  <c r="M125" i="30"/>
  <c r="J125" i="30"/>
  <c r="P125" i="30"/>
  <c r="U91" i="30"/>
  <c r="U88" i="30"/>
  <c r="U74" i="30"/>
  <c r="U77" i="30"/>
  <c r="U79" i="30" s="1"/>
  <c r="W27" i="30"/>
  <c r="W20" i="30"/>
  <c r="W28" i="30"/>
  <c r="W23" i="30"/>
  <c r="W22" i="30"/>
  <c r="W21" i="30"/>
  <c r="W26" i="30"/>
  <c r="W29" i="30"/>
  <c r="W24" i="30"/>
  <c r="W25" i="30"/>
  <c r="M71" i="30"/>
  <c r="M100" i="30"/>
  <c r="R71" i="30"/>
  <c r="R100" i="30"/>
  <c r="O71" i="30"/>
  <c r="O100" i="30"/>
  <c r="T71" i="30"/>
  <c r="T100" i="30"/>
  <c r="J71" i="30"/>
  <c r="J100" i="30"/>
  <c r="S71" i="30"/>
  <c r="S100" i="30"/>
  <c r="P71" i="30"/>
  <c r="P100" i="30"/>
  <c r="V71" i="30"/>
  <c r="V100" i="30"/>
  <c r="K71" i="30"/>
  <c r="K100" i="30"/>
  <c r="Q71" i="30"/>
  <c r="Q100" i="30"/>
  <c r="L71" i="30"/>
  <c r="L100" i="30"/>
  <c r="N71" i="30"/>
  <c r="N100" i="30"/>
  <c r="I53" i="33"/>
  <c r="J47" i="31" s="1"/>
  <c r="I60" i="33"/>
  <c r="J54" i="31" s="1"/>
  <c r="I55" i="33"/>
  <c r="J49" i="31" s="1"/>
  <c r="I65" i="33"/>
  <c r="J59" i="31" s="1"/>
  <c r="I56" i="33"/>
  <c r="J50" i="31" s="1"/>
  <c r="I62" i="33"/>
  <c r="J56" i="31" s="1"/>
  <c r="I61" i="33"/>
  <c r="J55" i="31" s="1"/>
  <c r="I63" i="33"/>
  <c r="J57" i="31" s="1"/>
  <c r="I58" i="33"/>
  <c r="J52" i="31" s="1"/>
  <c r="I57" i="33"/>
  <c r="J51" i="31" s="1"/>
  <c r="I64" i="33"/>
  <c r="J58" i="31" s="1"/>
  <c r="I59" i="33"/>
  <c r="J53" i="31" s="1"/>
  <c r="I54" i="33"/>
  <c r="J48" i="31" s="1"/>
  <c r="I37" i="33"/>
  <c r="I44" i="33"/>
  <c r="I39" i="33"/>
  <c r="I49" i="33"/>
  <c r="I43" i="33"/>
  <c r="I40" i="33"/>
  <c r="I46" i="33"/>
  <c r="I45" i="33"/>
  <c r="I47" i="33"/>
  <c r="I42" i="33"/>
  <c r="I41" i="33"/>
  <c r="I48" i="33"/>
  <c r="I38" i="33"/>
  <c r="C26" i="25"/>
  <c r="K5" i="29"/>
  <c r="K7" i="29" s="1"/>
  <c r="K9" i="29" s="1"/>
  <c r="W4" i="29"/>
  <c r="J9" i="29"/>
  <c r="L5" i="30"/>
  <c r="L6" i="30" s="1"/>
  <c r="J6" i="25" s="1"/>
  <c r="W14" i="30"/>
  <c r="H28" i="25" s="1"/>
  <c r="W18" i="30"/>
  <c r="H32" i="25" s="1"/>
  <c r="W11" i="30"/>
  <c r="H25" i="25" s="1"/>
  <c r="W13" i="30"/>
  <c r="H27" i="25" s="1"/>
  <c r="W9" i="30"/>
  <c r="H23" i="25" s="1"/>
  <c r="W17" i="30"/>
  <c r="H31" i="25" s="1"/>
  <c r="W10" i="30"/>
  <c r="H24" i="25" s="1"/>
  <c r="W12" i="30"/>
  <c r="H26" i="25" s="1"/>
  <c r="U5" i="30" l="1"/>
  <c r="U6" i="30" s="1"/>
  <c r="S6" i="25" s="1"/>
  <c r="S5" i="30"/>
  <c r="S6" i="30" s="1"/>
  <c r="Q6" i="25" s="1"/>
  <c r="Q5" i="30"/>
  <c r="Q6" i="30" s="1"/>
  <c r="O6" i="25" s="1"/>
  <c r="O5" i="30"/>
  <c r="O6" i="30" s="1"/>
  <c r="M6" i="25" s="1"/>
  <c r="P5" i="30"/>
  <c r="P6" i="30" s="1"/>
  <c r="N6" i="25" s="1"/>
  <c r="V13" i="29"/>
  <c r="V17" i="29" s="1"/>
  <c r="V69" i="29" s="1"/>
  <c r="P13" i="29"/>
  <c r="P17" i="29" s="1"/>
  <c r="P69" i="29" s="1"/>
  <c r="P4" i="36" s="1"/>
  <c r="R5" i="30"/>
  <c r="R6" i="30" s="1"/>
  <c r="P6" i="25" s="1"/>
  <c r="M5" i="30"/>
  <c r="M6" i="30" s="1"/>
  <c r="K6" i="25" s="1"/>
  <c r="V5" i="30"/>
  <c r="V6" i="30" s="1"/>
  <c r="T6" i="25" s="1"/>
  <c r="K5" i="30"/>
  <c r="K6" i="30" s="1"/>
  <c r="I6" i="25" s="1"/>
  <c r="N5" i="30"/>
  <c r="N6" i="30" s="1"/>
  <c r="L6" i="25" s="1"/>
  <c r="T5" i="30"/>
  <c r="T6" i="30" s="1"/>
  <c r="R6" i="25" s="1"/>
  <c r="J13" i="29"/>
  <c r="J17" i="29" s="1"/>
  <c r="J69" i="29" s="1"/>
  <c r="R13" i="29"/>
  <c r="R17" i="29" s="1"/>
  <c r="R69" i="29" s="1"/>
  <c r="S13" i="29"/>
  <c r="S17" i="29" s="1"/>
  <c r="S69" i="29" s="1"/>
  <c r="O13" i="29"/>
  <c r="O17" i="29" s="1"/>
  <c r="O69" i="29" s="1"/>
  <c r="K13" i="29"/>
  <c r="K17" i="29" s="1"/>
  <c r="K69" i="29" s="1"/>
  <c r="N13" i="29"/>
  <c r="N17" i="29" s="1"/>
  <c r="N69" i="29" s="1"/>
  <c r="L13" i="29"/>
  <c r="L17" i="29" s="1"/>
  <c r="L69" i="29" s="1"/>
  <c r="Q13" i="29"/>
  <c r="Q17" i="29" s="1"/>
  <c r="Q69" i="29" s="1"/>
  <c r="M13" i="29"/>
  <c r="M17" i="29" s="1"/>
  <c r="M69" i="29" s="1"/>
  <c r="U17" i="29"/>
  <c r="U69" i="29" s="1"/>
  <c r="T17" i="29"/>
  <c r="T69" i="29" s="1"/>
  <c r="W15" i="29"/>
  <c r="U30" i="31"/>
  <c r="L88" i="30"/>
  <c r="L74" i="30"/>
  <c r="L77" i="30"/>
  <c r="L79" i="30" s="1"/>
  <c r="L91" i="30"/>
  <c r="K74" i="30"/>
  <c r="K77" i="30"/>
  <c r="K79" i="30" s="1"/>
  <c r="K91" i="30"/>
  <c r="K88" i="30"/>
  <c r="P88" i="30"/>
  <c r="P74" i="30"/>
  <c r="P77" i="30"/>
  <c r="P79" i="30" s="1"/>
  <c r="P91" i="30"/>
  <c r="J91" i="30"/>
  <c r="J88" i="30"/>
  <c r="O74" i="30"/>
  <c r="O77" i="30"/>
  <c r="O79" i="30" s="1"/>
  <c r="O88" i="30"/>
  <c r="O91" i="30"/>
  <c r="M91" i="30"/>
  <c r="M88" i="30"/>
  <c r="M74" i="30"/>
  <c r="M77" i="30"/>
  <c r="M79" i="30" s="1"/>
  <c r="N74" i="30"/>
  <c r="N91" i="30"/>
  <c r="N77" i="30"/>
  <c r="N79" i="30" s="1"/>
  <c r="N88" i="30"/>
  <c r="Q91" i="30"/>
  <c r="Q88" i="30"/>
  <c r="Q74" i="30"/>
  <c r="Q77" i="30"/>
  <c r="Q79" i="30" s="1"/>
  <c r="V74" i="30"/>
  <c r="V91" i="30"/>
  <c r="V88" i="30"/>
  <c r="V77" i="30"/>
  <c r="V79" i="30" s="1"/>
  <c r="V30" i="31" s="1"/>
  <c r="S74" i="30"/>
  <c r="S77" i="30"/>
  <c r="S79" i="30" s="1"/>
  <c r="S88" i="30"/>
  <c r="S91" i="30"/>
  <c r="T88" i="30"/>
  <c r="T91" i="30"/>
  <c r="T74" i="30"/>
  <c r="T77" i="30"/>
  <c r="T79" i="30" s="1"/>
  <c r="R77" i="30"/>
  <c r="R79" i="30" s="1"/>
  <c r="R91" i="30"/>
  <c r="R74" i="30"/>
  <c r="R88" i="30"/>
  <c r="J74" i="30"/>
  <c r="J77" i="30"/>
  <c r="J79" i="30" s="1"/>
  <c r="N30" i="31"/>
  <c r="C27" i="25"/>
  <c r="W9" i="29"/>
  <c r="W11" i="29"/>
  <c r="W7" i="29"/>
  <c r="W5" i="29"/>
  <c r="P20" i="29" l="1"/>
  <c r="P64" i="29" s="1"/>
  <c r="N5" i="25" s="1"/>
  <c r="AM14" i="33"/>
  <c r="AM15" i="33" s="1"/>
  <c r="AM16" i="33" s="1"/>
  <c r="AM39" i="33" s="1"/>
  <c r="W13" i="29"/>
  <c r="W17" i="29"/>
  <c r="J48" i="30"/>
  <c r="J45" i="30"/>
  <c r="J47" i="30"/>
  <c r="J46" i="30"/>
  <c r="R30" i="31"/>
  <c r="S30" i="31"/>
  <c r="T30" i="31"/>
  <c r="M30" i="31"/>
  <c r="O30" i="31"/>
  <c r="K30" i="31"/>
  <c r="S20" i="29"/>
  <c r="O20" i="29"/>
  <c r="M20" i="29"/>
  <c r="K4" i="36"/>
  <c r="AH14" i="33"/>
  <c r="AH15" i="33" s="1"/>
  <c r="AH16" i="33" s="1"/>
  <c r="K23" i="36" s="1"/>
  <c r="T20" i="29"/>
  <c r="N20" i="29"/>
  <c r="Q20" i="29"/>
  <c r="V20" i="29"/>
  <c r="Q30" i="31"/>
  <c r="P30" i="31"/>
  <c r="L30" i="31"/>
  <c r="L20" i="29"/>
  <c r="U20" i="29"/>
  <c r="R20" i="29"/>
  <c r="V48" i="30"/>
  <c r="W79" i="30"/>
  <c r="W88" i="30"/>
  <c r="W91" i="30"/>
  <c r="O45" i="30"/>
  <c r="O46" i="30"/>
  <c r="O47" i="30"/>
  <c r="O48" i="30"/>
  <c r="O50" i="30"/>
  <c r="O49" i="30"/>
  <c r="S45" i="30"/>
  <c r="S46" i="30"/>
  <c r="S47" i="30"/>
  <c r="S48" i="30"/>
  <c r="S49" i="30"/>
  <c r="S50" i="30"/>
  <c r="L48" i="30"/>
  <c r="J34" i="30"/>
  <c r="Q45" i="30"/>
  <c r="Q46" i="30"/>
  <c r="Q47" i="30"/>
  <c r="Q48" i="30"/>
  <c r="Q49" i="30"/>
  <c r="Q50" i="30"/>
  <c r="T48" i="30"/>
  <c r="J37" i="30"/>
  <c r="J39" i="30"/>
  <c r="J36" i="30"/>
  <c r="J38" i="30"/>
  <c r="J35" i="30"/>
  <c r="W89" i="30"/>
  <c r="W86" i="30"/>
  <c r="W77" i="30"/>
  <c r="W74" i="30"/>
  <c r="J30" i="31"/>
  <c r="C28" i="25"/>
  <c r="C29" i="25" s="1"/>
  <c r="C30" i="25" s="1"/>
  <c r="C31" i="25" s="1"/>
  <c r="C32" i="25" s="1"/>
  <c r="K20" i="29"/>
  <c r="K64" i="29" s="1"/>
  <c r="AJ25" i="33" l="1"/>
  <c r="P7" i="31"/>
  <c r="P14" i="33"/>
  <c r="P15" i="33" s="1"/>
  <c r="AM40" i="33"/>
  <c r="AM48" i="33"/>
  <c r="AL64" i="33" s="1"/>
  <c r="AM38" i="33"/>
  <c r="AR25" i="33"/>
  <c r="AG25" i="33"/>
  <c r="AM47" i="33"/>
  <c r="AK63" i="33" s="1"/>
  <c r="AM42" i="33"/>
  <c r="AL25" i="33"/>
  <c r="AM49" i="33"/>
  <c r="AM65" i="33" s="1"/>
  <c r="AM45" i="33"/>
  <c r="AI61" i="33" s="1"/>
  <c r="AK25" i="33"/>
  <c r="P23" i="36"/>
  <c r="AS25" i="33"/>
  <c r="AN25" i="33"/>
  <c r="AH25" i="33"/>
  <c r="AM43" i="33"/>
  <c r="AG59" i="33" s="1"/>
  <c r="AP25" i="33"/>
  <c r="AM46" i="33"/>
  <c r="AJ62" i="33" s="1"/>
  <c r="AI25" i="33"/>
  <c r="AQ25" i="33"/>
  <c r="AM41" i="33"/>
  <c r="AM44" i="33"/>
  <c r="AH60" i="33" s="1"/>
  <c r="AM25" i="33"/>
  <c r="AM37" i="33"/>
  <c r="AO25" i="33"/>
  <c r="R64" i="29"/>
  <c r="P5" i="25" s="1"/>
  <c r="V64" i="29"/>
  <c r="V14" i="33" s="1"/>
  <c r="U64" i="29"/>
  <c r="U14" i="33" s="1"/>
  <c r="Q64" i="29"/>
  <c r="Q14" i="33" s="1"/>
  <c r="M64" i="29"/>
  <c r="K5" i="25" s="1"/>
  <c r="L64" i="29"/>
  <c r="L14" i="33" s="1"/>
  <c r="N64" i="29"/>
  <c r="L5" i="25" s="1"/>
  <c r="O64" i="29"/>
  <c r="O7" i="31" s="1"/>
  <c r="T64" i="29"/>
  <c r="R5" i="25" s="1"/>
  <c r="S64" i="29"/>
  <c r="S7" i="31" s="1"/>
  <c r="R49" i="30"/>
  <c r="R46" i="30"/>
  <c r="V49" i="30"/>
  <c r="V47" i="30"/>
  <c r="R47" i="30"/>
  <c r="R45" i="30"/>
  <c r="V50" i="30"/>
  <c r="R50" i="30"/>
  <c r="R48" i="30"/>
  <c r="K35" i="30"/>
  <c r="P48" i="30"/>
  <c r="L45" i="30"/>
  <c r="AB30" i="31"/>
  <c r="AP20" i="33"/>
  <c r="J73" i="30"/>
  <c r="AH45" i="33"/>
  <c r="AN61" i="33" s="1"/>
  <c r="AH37" i="33"/>
  <c r="AQ20" i="33"/>
  <c r="AH40" i="33"/>
  <c r="AI56" i="33" s="1"/>
  <c r="AJ20" i="33"/>
  <c r="V46" i="30"/>
  <c r="V45" i="30"/>
  <c r="L46" i="30"/>
  <c r="L47" i="30"/>
  <c r="L50" i="30"/>
  <c r="J20" i="29"/>
  <c r="J64" i="29" s="1"/>
  <c r="W70" i="29" a="1"/>
  <c r="T45" i="30"/>
  <c r="T50" i="30"/>
  <c r="T47" i="30"/>
  <c r="AH20" i="33"/>
  <c r="AN20" i="33"/>
  <c r="AR20" i="33"/>
  <c r="AK20" i="33"/>
  <c r="AH43" i="33"/>
  <c r="AL59" i="33" s="1"/>
  <c r="AG20" i="33"/>
  <c r="AM20" i="33"/>
  <c r="U4" i="36"/>
  <c r="AR14" i="33"/>
  <c r="AR15" i="33" s="1"/>
  <c r="AR16" i="33" s="1"/>
  <c r="Q4" i="36"/>
  <c r="AN14" i="33"/>
  <c r="AN15" i="33" s="1"/>
  <c r="AN16" i="33" s="1"/>
  <c r="O4" i="36"/>
  <c r="AL14" i="33"/>
  <c r="AL15" i="33" s="1"/>
  <c r="AL16" i="33" s="1"/>
  <c r="AH46" i="33"/>
  <c r="AO62" i="33" s="1"/>
  <c r="AH48" i="33"/>
  <c r="AQ64" i="33" s="1"/>
  <c r="AH42" i="33"/>
  <c r="AK58" i="33" s="1"/>
  <c r="AH49" i="33"/>
  <c r="AR65" i="33" s="1"/>
  <c r="AH41" i="33"/>
  <c r="AJ57" i="33" s="1"/>
  <c r="AS20" i="33"/>
  <c r="AI20" i="33"/>
  <c r="AS14" i="33"/>
  <c r="AS15" i="33" s="1"/>
  <c r="AS16" i="33" s="1"/>
  <c r="V4" i="36"/>
  <c r="N4" i="36"/>
  <c r="AK14" i="33"/>
  <c r="AK15" i="33" s="1"/>
  <c r="AK16" i="33" s="1"/>
  <c r="M4" i="36"/>
  <c r="AJ14" i="33"/>
  <c r="AJ15" i="33" s="1"/>
  <c r="AJ16" i="33" s="1"/>
  <c r="S4" i="36"/>
  <c r="AP14" i="33"/>
  <c r="AP15" i="33" s="1"/>
  <c r="AP16" i="33" s="1"/>
  <c r="T4" i="36"/>
  <c r="AQ14" i="33"/>
  <c r="AQ15" i="33" s="1"/>
  <c r="AQ16" i="33" s="1"/>
  <c r="W30" i="31"/>
  <c r="AH38" i="33"/>
  <c r="AG54" i="33" s="1"/>
  <c r="AH44" i="33"/>
  <c r="AM60" i="33" s="1"/>
  <c r="AL20" i="33"/>
  <c r="AH47" i="33"/>
  <c r="AP63" i="33" s="1"/>
  <c r="AH39" i="33"/>
  <c r="AH55" i="33" s="1"/>
  <c r="AO20" i="33"/>
  <c r="R4" i="36"/>
  <c r="AO14" i="33"/>
  <c r="AO15" i="33" s="1"/>
  <c r="AO16" i="33" s="1"/>
  <c r="L4" i="36"/>
  <c r="AI14" i="33"/>
  <c r="AI15" i="33" s="1"/>
  <c r="AI16" i="33" s="1"/>
  <c r="T46" i="30"/>
  <c r="T49" i="30"/>
  <c r="L49" i="30"/>
  <c r="P35" i="30"/>
  <c r="P37" i="30"/>
  <c r="P39" i="30"/>
  <c r="P76" i="30" s="1"/>
  <c r="P26" i="31" s="1"/>
  <c r="P47" i="30"/>
  <c r="P38" i="30"/>
  <c r="P75" i="30" s="1"/>
  <c r="P18" i="31" s="1"/>
  <c r="P34" i="30"/>
  <c r="P36" i="30"/>
  <c r="K36" i="30"/>
  <c r="J104" i="30"/>
  <c r="AG81" i="33" s="1"/>
  <c r="J102" i="30"/>
  <c r="P50" i="30"/>
  <c r="P46" i="30"/>
  <c r="P49" i="30"/>
  <c r="P45" i="30"/>
  <c r="K37" i="30"/>
  <c r="J75" i="30"/>
  <c r="M45" i="30"/>
  <c r="M46" i="30"/>
  <c r="M47" i="30"/>
  <c r="M48" i="30"/>
  <c r="M49" i="30"/>
  <c r="M50" i="30"/>
  <c r="K45" i="30"/>
  <c r="K46" i="30"/>
  <c r="K47" i="30"/>
  <c r="K48" i="30"/>
  <c r="K49" i="30"/>
  <c r="K50" i="30"/>
  <c r="K38" i="30"/>
  <c r="K34" i="30"/>
  <c r="J76" i="30"/>
  <c r="J26" i="31" s="1"/>
  <c r="K39" i="30"/>
  <c r="K76" i="30" s="1"/>
  <c r="K26" i="31" s="1"/>
  <c r="N47" i="30"/>
  <c r="N49" i="30"/>
  <c r="N45" i="30"/>
  <c r="N46" i="30"/>
  <c r="N48" i="30"/>
  <c r="N50" i="30"/>
  <c r="U45" i="30"/>
  <c r="U46" i="30"/>
  <c r="U47" i="30"/>
  <c r="U48" i="30"/>
  <c r="U49" i="30"/>
  <c r="U50" i="30"/>
  <c r="K14" i="33"/>
  <c r="K15" i="33" s="1"/>
  <c r="K7" i="31"/>
  <c r="I5" i="25"/>
  <c r="P16" i="33"/>
  <c r="W33" i="32"/>
  <c r="C33" i="25"/>
  <c r="C34" i="25" s="1"/>
  <c r="C35" i="25" s="1"/>
  <c r="U37" i="30"/>
  <c r="U38" i="30"/>
  <c r="U75" i="30" s="1"/>
  <c r="U39" i="30"/>
  <c r="U76" i="30" s="1"/>
  <c r="U35" i="30"/>
  <c r="U36" i="30"/>
  <c r="U34" i="30"/>
  <c r="T37" i="30"/>
  <c r="T36" i="30"/>
  <c r="T35" i="30"/>
  <c r="T38" i="30"/>
  <c r="T75" i="30" s="1"/>
  <c r="T34" i="30"/>
  <c r="T39" i="30"/>
  <c r="T76" i="30" s="1"/>
  <c r="M37" i="30"/>
  <c r="M38" i="30"/>
  <c r="M36" i="30"/>
  <c r="M35" i="30"/>
  <c r="M34" i="30"/>
  <c r="M39" i="30"/>
  <c r="M76" i="30" s="1"/>
  <c r="O35" i="30"/>
  <c r="O39" i="30"/>
  <c r="O76" i="30" s="1"/>
  <c r="O37" i="30"/>
  <c r="O36" i="30"/>
  <c r="O34" i="30"/>
  <c r="O38" i="30"/>
  <c r="O75" i="30" s="1"/>
  <c r="Q37" i="30"/>
  <c r="Q38" i="30"/>
  <c r="Q75" i="30" s="1"/>
  <c r="Q34" i="30"/>
  <c r="Q36" i="30"/>
  <c r="Q35" i="30"/>
  <c r="Q39" i="30"/>
  <c r="Q76" i="30" s="1"/>
  <c r="L37" i="30"/>
  <c r="L34" i="30"/>
  <c r="L39" i="30"/>
  <c r="L76" i="30" s="1"/>
  <c r="L36" i="30"/>
  <c r="L35" i="30"/>
  <c r="L38" i="30"/>
  <c r="V38" i="30"/>
  <c r="V75" i="30" s="1"/>
  <c r="V37" i="30"/>
  <c r="V35" i="30"/>
  <c r="V39" i="30"/>
  <c r="V76" i="30" s="1"/>
  <c r="V34" i="30"/>
  <c r="V36" i="30"/>
  <c r="N35" i="30"/>
  <c r="N39" i="30"/>
  <c r="N76" i="30" s="1"/>
  <c r="N38" i="30"/>
  <c r="N75" i="30" s="1"/>
  <c r="N37" i="30"/>
  <c r="N36" i="30"/>
  <c r="N34" i="30"/>
  <c r="R37" i="30"/>
  <c r="R35" i="30"/>
  <c r="R39" i="30"/>
  <c r="R76" i="30" s="1"/>
  <c r="R38" i="30"/>
  <c r="R75" i="30" s="1"/>
  <c r="R36" i="30"/>
  <c r="R34" i="30"/>
  <c r="S34" i="30"/>
  <c r="S39" i="30"/>
  <c r="S76" i="30" s="1"/>
  <c r="S37" i="30"/>
  <c r="S36" i="30"/>
  <c r="S38" i="30"/>
  <c r="S75" i="30" s="1"/>
  <c r="S35" i="30"/>
  <c r="N14" i="33" l="1"/>
  <c r="N15" i="33" s="1"/>
  <c r="Q7" i="31"/>
  <c r="R14" i="33"/>
  <c r="R15" i="33" s="1"/>
  <c r="J5" i="25"/>
  <c r="M5" i="25"/>
  <c r="O5" i="25"/>
  <c r="O14" i="33"/>
  <c r="O15" i="33" s="1"/>
  <c r="N7" i="31"/>
  <c r="T5" i="25"/>
  <c r="M14" i="33"/>
  <c r="M15" i="33" s="1"/>
  <c r="M16" i="33" s="1"/>
  <c r="M46" i="33" s="1"/>
  <c r="T14" i="33"/>
  <c r="T15" i="33" s="1"/>
  <c r="R7" i="31"/>
  <c r="M7" i="31"/>
  <c r="V7" i="31"/>
  <c r="Q5" i="25"/>
  <c r="T7" i="31"/>
  <c r="S14" i="33"/>
  <c r="S15" i="33" s="1"/>
  <c r="L7" i="31"/>
  <c r="S5" i="25"/>
  <c r="Q15" i="33"/>
  <c r="Q16" i="33" s="1"/>
  <c r="U15" i="33"/>
  <c r="U16" i="33" s="1"/>
  <c r="L15" i="33"/>
  <c r="L16" i="33" s="1"/>
  <c r="V15" i="33"/>
  <c r="V16" i="33" s="1"/>
  <c r="U7" i="31"/>
  <c r="J14" i="33"/>
  <c r="J15" i="33" s="1"/>
  <c r="W65" i="29" a="1"/>
  <c r="W20" i="29"/>
  <c r="W65" i="29"/>
  <c r="F23" i="23" s="1"/>
  <c r="J7" i="31"/>
  <c r="M75" i="30"/>
  <c r="M18" i="31" s="1"/>
  <c r="K75" i="30"/>
  <c r="K18" i="31" s="1"/>
  <c r="L75" i="30"/>
  <c r="L18" i="31" s="1"/>
  <c r="W64" i="29"/>
  <c r="F21" i="23" s="1"/>
  <c r="H5" i="25"/>
  <c r="AS40" i="33"/>
  <c r="AS44" i="33"/>
  <c r="AS48" i="33"/>
  <c r="AS31" i="33"/>
  <c r="AP31" i="33"/>
  <c r="AR31" i="33"/>
  <c r="AS37" i="33"/>
  <c r="AS41" i="33"/>
  <c r="AS45" i="33"/>
  <c r="AS49" i="33"/>
  <c r="AG65" i="33" s="1"/>
  <c r="V23" i="36"/>
  <c r="AG31" i="33"/>
  <c r="AN31" i="33"/>
  <c r="AS38" i="33"/>
  <c r="AS42" i="33"/>
  <c r="AS46" i="33"/>
  <c r="AK31" i="33"/>
  <c r="AH31" i="33"/>
  <c r="AI31" i="33"/>
  <c r="AJ31" i="33"/>
  <c r="AS47" i="33"/>
  <c r="AM31" i="33"/>
  <c r="AS43" i="33"/>
  <c r="AO31" i="33"/>
  <c r="AQ31" i="33"/>
  <c r="AS39" i="33"/>
  <c r="AL31" i="33"/>
  <c r="AN38" i="33"/>
  <c r="AN42" i="33"/>
  <c r="AN46" i="33"/>
  <c r="AI62" i="33" s="1"/>
  <c r="AK26" i="33"/>
  <c r="AL26" i="33"/>
  <c r="AG26" i="33"/>
  <c r="AI26" i="33"/>
  <c r="AN39" i="33"/>
  <c r="AN43" i="33"/>
  <c r="AN47" i="33"/>
  <c r="AJ63" i="33" s="1"/>
  <c r="AO26" i="33"/>
  <c r="AP26" i="33"/>
  <c r="AQ26" i="33"/>
  <c r="AR26" i="33"/>
  <c r="AN40" i="33"/>
  <c r="AN44" i="33"/>
  <c r="AG60" i="33" s="1"/>
  <c r="AN48" i="33"/>
  <c r="AK64" i="33" s="1"/>
  <c r="AS26" i="33"/>
  <c r="Q23" i="36"/>
  <c r="AJ26" i="33"/>
  <c r="AN45" i="33"/>
  <c r="AH61" i="33" s="1"/>
  <c r="AN26" i="33"/>
  <c r="AM26" i="33"/>
  <c r="AN49" i="33"/>
  <c r="AL65" i="33" s="1"/>
  <c r="AN41" i="33"/>
  <c r="AN37" i="33"/>
  <c r="AH26" i="33"/>
  <c r="AI38" i="33"/>
  <c r="AI46" i="33"/>
  <c r="AN62" i="33" s="1"/>
  <c r="AS21" i="33"/>
  <c r="AI37" i="33"/>
  <c r="AI21" i="33"/>
  <c r="AM21" i="33"/>
  <c r="AI43" i="33"/>
  <c r="AK59" i="33" s="1"/>
  <c r="AI40" i="33"/>
  <c r="AH56" i="33" s="1"/>
  <c r="AI48" i="33"/>
  <c r="AP64" i="33" s="1"/>
  <c r="AH21" i="33"/>
  <c r="AI41" i="33"/>
  <c r="AI57" i="33" s="1"/>
  <c r="AQ21" i="33"/>
  <c r="AG21" i="33"/>
  <c r="AN21" i="33"/>
  <c r="AO21" i="33"/>
  <c r="AI47" i="33"/>
  <c r="AO63" i="33" s="1"/>
  <c r="AI42" i="33"/>
  <c r="AJ58" i="33" s="1"/>
  <c r="AK21" i="33"/>
  <c r="AL21" i="33"/>
  <c r="AI45" i="33"/>
  <c r="AM61" i="33" s="1"/>
  <c r="AI39" i="33"/>
  <c r="AG55" i="33" s="1"/>
  <c r="AJ21" i="33"/>
  <c r="L23" i="36"/>
  <c r="AI44" i="33"/>
  <c r="AL60" i="33" s="1"/>
  <c r="AP21" i="33"/>
  <c r="AI49" i="33"/>
  <c r="AQ65" i="33" s="1"/>
  <c r="AR21" i="33"/>
  <c r="AO28" i="33"/>
  <c r="AP39" i="33"/>
  <c r="AP47" i="33"/>
  <c r="AH63" i="33" s="1"/>
  <c r="AP28" i="33"/>
  <c r="AR28" i="33"/>
  <c r="AN28" i="33"/>
  <c r="AJ28" i="33"/>
  <c r="AP37" i="33"/>
  <c r="AP44" i="33"/>
  <c r="AS28" i="33"/>
  <c r="AP41" i="33"/>
  <c r="AP49" i="33"/>
  <c r="AJ65" i="33" s="1"/>
  <c r="AM28" i="33"/>
  <c r="AP38" i="33"/>
  <c r="AQ28" i="33"/>
  <c r="AK28" i="33"/>
  <c r="AL28" i="33"/>
  <c r="AP48" i="33"/>
  <c r="AI64" i="33" s="1"/>
  <c r="S23" i="36"/>
  <c r="AG28" i="33"/>
  <c r="AP43" i="33"/>
  <c r="AH28" i="33"/>
  <c r="AI28" i="33"/>
  <c r="AP42" i="33"/>
  <c r="AP40" i="33"/>
  <c r="AP45" i="33"/>
  <c r="AP46" i="33"/>
  <c r="AG62" i="33" s="1"/>
  <c r="AK37" i="33"/>
  <c r="AK41" i="33"/>
  <c r="AG57" i="33" s="1"/>
  <c r="AK45" i="33"/>
  <c r="AK61" i="33" s="1"/>
  <c r="AK49" i="33"/>
  <c r="AO65" i="33" s="1"/>
  <c r="N23" i="36"/>
  <c r="AG23" i="33"/>
  <c r="AJ23" i="33"/>
  <c r="AK38" i="33"/>
  <c r="AK42" i="33"/>
  <c r="AH58" i="33" s="1"/>
  <c r="AK46" i="33"/>
  <c r="AL62" i="33" s="1"/>
  <c r="AK23" i="33"/>
  <c r="AH23" i="33"/>
  <c r="AI23" i="33"/>
  <c r="AR23" i="33"/>
  <c r="AK39" i="33"/>
  <c r="AK43" i="33"/>
  <c r="AI59" i="33" s="1"/>
  <c r="AK47" i="33"/>
  <c r="AM63" i="33" s="1"/>
  <c r="AO23" i="33"/>
  <c r="AL23" i="33"/>
  <c r="AQ23" i="33"/>
  <c r="AM23" i="33"/>
  <c r="AS23" i="33"/>
  <c r="AK40" i="33"/>
  <c r="AP23" i="33"/>
  <c r="AK48" i="33"/>
  <c r="AN64" i="33" s="1"/>
  <c r="AK44" i="33"/>
  <c r="AJ60" i="33" s="1"/>
  <c r="AN23" i="33"/>
  <c r="AS24" i="33"/>
  <c r="AL42" i="33"/>
  <c r="AG58" i="33" s="1"/>
  <c r="AH24" i="33"/>
  <c r="AI24" i="33"/>
  <c r="AL37" i="33"/>
  <c r="AN24" i="33"/>
  <c r="AO24" i="33"/>
  <c r="AM24" i="33"/>
  <c r="O23" i="36"/>
  <c r="AG24" i="33"/>
  <c r="AL44" i="33"/>
  <c r="AI60" i="33" s="1"/>
  <c r="AL24" i="33"/>
  <c r="AL39" i="33"/>
  <c r="AL41" i="33"/>
  <c r="AQ24" i="33"/>
  <c r="AL48" i="33"/>
  <c r="AM64" i="33" s="1"/>
  <c r="AJ24" i="33"/>
  <c r="AK24" i="33"/>
  <c r="AL38" i="33"/>
  <c r="AL46" i="33"/>
  <c r="AK62" i="33" s="1"/>
  <c r="AP24" i="33"/>
  <c r="AL47" i="33"/>
  <c r="AL63" i="33" s="1"/>
  <c r="AL45" i="33"/>
  <c r="AJ61" i="33" s="1"/>
  <c r="AL43" i="33"/>
  <c r="AH59" i="33" s="1"/>
  <c r="AL40" i="33"/>
  <c r="AR24" i="33"/>
  <c r="AL49" i="33"/>
  <c r="AN65" i="33" s="1"/>
  <c r="AR39" i="33"/>
  <c r="AR43" i="33"/>
  <c r="AR47" i="33"/>
  <c r="AK30" i="33"/>
  <c r="AL30" i="33"/>
  <c r="AQ30" i="33"/>
  <c r="AR30" i="33"/>
  <c r="AR46" i="33"/>
  <c r="AR40" i="33"/>
  <c r="AR44" i="33"/>
  <c r="AR48" i="33"/>
  <c r="AG64" i="33" s="1"/>
  <c r="AO30" i="33"/>
  <c r="AP30" i="33"/>
  <c r="AG30" i="33"/>
  <c r="AR38" i="33"/>
  <c r="U23" i="36"/>
  <c r="AR37" i="33"/>
  <c r="AR41" i="33"/>
  <c r="AR45" i="33"/>
  <c r="AR49" i="33"/>
  <c r="AH65" i="33" s="1"/>
  <c r="AS30" i="33"/>
  <c r="AM30" i="33"/>
  <c r="AJ30" i="33"/>
  <c r="AR42" i="33"/>
  <c r="AH30" i="33"/>
  <c r="AN30" i="33"/>
  <c r="AI30" i="33"/>
  <c r="J4" i="36"/>
  <c r="AG14" i="33"/>
  <c r="AG15" i="33" s="1"/>
  <c r="AG16" i="33" s="1"/>
  <c r="W70" i="29"/>
  <c r="W69" i="29"/>
  <c r="AO38" i="33"/>
  <c r="AO42" i="33"/>
  <c r="AO46" i="33"/>
  <c r="AH62" i="33" s="1"/>
  <c r="AK27" i="33"/>
  <c r="AL27" i="33"/>
  <c r="AI27" i="33"/>
  <c r="AR27" i="33"/>
  <c r="AO37" i="33"/>
  <c r="AO41" i="33"/>
  <c r="AO45" i="33"/>
  <c r="AG61" i="33" s="1"/>
  <c r="AO49" i="33"/>
  <c r="AK65" i="33" s="1"/>
  <c r="AJ27" i="33"/>
  <c r="AO39" i="33"/>
  <c r="AO43" i="33"/>
  <c r="AO47" i="33"/>
  <c r="AI63" i="33" s="1"/>
  <c r="AO27" i="33"/>
  <c r="AP27" i="33"/>
  <c r="AQ27" i="33"/>
  <c r="AM27" i="33"/>
  <c r="R23" i="36"/>
  <c r="AO40" i="33"/>
  <c r="AO44" i="33"/>
  <c r="AO48" i="33"/>
  <c r="AJ64" i="33" s="1"/>
  <c r="AS27" i="33"/>
  <c r="AG27" i="33"/>
  <c r="AN27" i="33"/>
  <c r="AH27" i="33"/>
  <c r="AQ38" i="33"/>
  <c r="AQ46" i="33"/>
  <c r="AS29" i="33"/>
  <c r="AQ39" i="33"/>
  <c r="AQ29" i="33"/>
  <c r="AM29" i="33"/>
  <c r="AN29" i="33"/>
  <c r="AQ40" i="33"/>
  <c r="AQ48" i="33"/>
  <c r="AH64" i="33" s="1"/>
  <c r="AH29" i="33"/>
  <c r="AQ43" i="33"/>
  <c r="AJ29" i="33"/>
  <c r="AR29" i="33"/>
  <c r="AG29" i="33"/>
  <c r="AQ42" i="33"/>
  <c r="AK29" i="33"/>
  <c r="AL29" i="33"/>
  <c r="AQ47" i="33"/>
  <c r="AG63" i="33" s="1"/>
  <c r="AQ41" i="33"/>
  <c r="AQ37" i="33"/>
  <c r="AQ44" i="33"/>
  <c r="AQ49" i="33"/>
  <c r="AI65" i="33" s="1"/>
  <c r="T23" i="36"/>
  <c r="AI29" i="33"/>
  <c r="AO29" i="33"/>
  <c r="AQ45" i="33"/>
  <c r="AP29" i="33"/>
  <c r="AJ37" i="33"/>
  <c r="AJ41" i="33"/>
  <c r="AH57" i="33" s="1"/>
  <c r="AJ45" i="33"/>
  <c r="AL61" i="33" s="1"/>
  <c r="AJ49" i="33"/>
  <c r="AP65" i="33" s="1"/>
  <c r="AS22" i="33"/>
  <c r="AM22" i="33"/>
  <c r="AI22" i="33"/>
  <c r="AJ38" i="33"/>
  <c r="AJ42" i="33"/>
  <c r="AI58" i="33" s="1"/>
  <c r="AJ46" i="33"/>
  <c r="AM62" i="33" s="1"/>
  <c r="M23" i="36"/>
  <c r="AH22" i="33"/>
  <c r="AQ22" i="33"/>
  <c r="AG22" i="33"/>
  <c r="AJ39" i="33"/>
  <c r="AJ43" i="33"/>
  <c r="AJ59" i="33" s="1"/>
  <c r="AJ47" i="33"/>
  <c r="AN63" i="33" s="1"/>
  <c r="AK22" i="33"/>
  <c r="AL22" i="33"/>
  <c r="AJ22" i="33"/>
  <c r="AR22" i="33"/>
  <c r="AJ40" i="33"/>
  <c r="AG56" i="33" s="1"/>
  <c r="AP22" i="33"/>
  <c r="AO22" i="33"/>
  <c r="AJ44" i="33"/>
  <c r="AK60" i="33" s="1"/>
  <c r="AN22" i="33"/>
  <c r="AJ48" i="33"/>
  <c r="AO64" i="33" s="1"/>
  <c r="P104" i="30"/>
  <c r="AM81" i="33" s="1"/>
  <c r="S104" i="30"/>
  <c r="AP81" i="33" s="1"/>
  <c r="R104" i="30"/>
  <c r="AO81" i="33" s="1"/>
  <c r="N104" i="30"/>
  <c r="AK81" i="33" s="1"/>
  <c r="Q104" i="30"/>
  <c r="AN81" i="33" s="1"/>
  <c r="W49" i="30"/>
  <c r="V104" i="30"/>
  <c r="AS81" i="33" s="1"/>
  <c r="T104" i="30"/>
  <c r="AQ81" i="33" s="1"/>
  <c r="P73" i="30"/>
  <c r="P102" i="30"/>
  <c r="P81" i="33" s="1"/>
  <c r="P82" i="33" s="1"/>
  <c r="P83" i="33" s="1"/>
  <c r="O104" i="30"/>
  <c r="AL81" i="33" s="1"/>
  <c r="M104" i="30"/>
  <c r="AJ81" i="33" s="1"/>
  <c r="U104" i="30"/>
  <c r="AR81" i="33" s="1"/>
  <c r="L104" i="30"/>
  <c r="AI81" i="33" s="1"/>
  <c r="K104" i="30"/>
  <c r="AH81" i="33" s="1"/>
  <c r="V73" i="30"/>
  <c r="AG82" i="33"/>
  <c r="AG83" i="33" s="1"/>
  <c r="J81" i="33"/>
  <c r="J82" i="33" s="1"/>
  <c r="W45" i="30"/>
  <c r="W48" i="30"/>
  <c r="W47" i="30"/>
  <c r="W50" i="30"/>
  <c r="W46" i="30"/>
  <c r="L73" i="30"/>
  <c r="K102" i="30"/>
  <c r="K73" i="30"/>
  <c r="S73" i="30"/>
  <c r="T73" i="30"/>
  <c r="R73" i="30"/>
  <c r="N73" i="30"/>
  <c r="Q73" i="30"/>
  <c r="O73" i="30"/>
  <c r="M73" i="30"/>
  <c r="U73" i="30"/>
  <c r="T18" i="31"/>
  <c r="U26" i="31"/>
  <c r="R26" i="31"/>
  <c r="N26" i="31"/>
  <c r="V18" i="31"/>
  <c r="L26" i="31"/>
  <c r="V26" i="31"/>
  <c r="Q26" i="31"/>
  <c r="Q18" i="31"/>
  <c r="T26" i="31"/>
  <c r="U18" i="31"/>
  <c r="S18" i="31"/>
  <c r="S26" i="31"/>
  <c r="N18" i="31"/>
  <c r="O18" i="31"/>
  <c r="O26" i="31"/>
  <c r="M26" i="31"/>
  <c r="K16" i="33"/>
  <c r="P14" i="32"/>
  <c r="O25" i="33"/>
  <c r="P49" i="33"/>
  <c r="M25" i="33"/>
  <c r="Q25" i="33"/>
  <c r="P47" i="33"/>
  <c r="P42" i="33"/>
  <c r="J25" i="33"/>
  <c r="P41" i="33"/>
  <c r="T25" i="33"/>
  <c r="P40" i="33"/>
  <c r="N25" i="33"/>
  <c r="P38" i="33"/>
  <c r="P48" i="33"/>
  <c r="R25" i="33"/>
  <c r="P46" i="33"/>
  <c r="P37" i="33"/>
  <c r="S25" i="33"/>
  <c r="P25" i="33"/>
  <c r="P45" i="33"/>
  <c r="U25" i="33"/>
  <c r="P39" i="33"/>
  <c r="L25" i="33"/>
  <c r="V25" i="33"/>
  <c r="P43" i="33"/>
  <c r="K25" i="33"/>
  <c r="P44" i="33"/>
  <c r="AB29" i="32"/>
  <c r="R102" i="30"/>
  <c r="N102" i="30"/>
  <c r="O102" i="30"/>
  <c r="U102" i="30"/>
  <c r="L102" i="30"/>
  <c r="S102" i="30"/>
  <c r="V102" i="30"/>
  <c r="T102" i="30"/>
  <c r="Q102" i="30"/>
  <c r="M102" i="30"/>
  <c r="C36" i="25"/>
  <c r="W38" i="30"/>
  <c r="H37" i="25" s="1"/>
  <c r="W34" i="30"/>
  <c r="H33" i="25" s="1"/>
  <c r="W36" i="30"/>
  <c r="H35" i="25" s="1"/>
  <c r="W37" i="30"/>
  <c r="H36" i="25" s="1"/>
  <c r="W39" i="30"/>
  <c r="H38" i="25" s="1"/>
  <c r="W35" i="30"/>
  <c r="H34" i="25" s="1"/>
  <c r="R16" i="33" l="1"/>
  <c r="R37" i="33" s="1"/>
  <c r="N16" i="33"/>
  <c r="J23" i="33" s="1"/>
  <c r="O16" i="33"/>
  <c r="O40" i="33" s="1"/>
  <c r="AB7" i="31"/>
  <c r="M37" i="33"/>
  <c r="M40" i="33"/>
  <c r="J22" i="33"/>
  <c r="M43" i="33"/>
  <c r="M59" i="33" s="1"/>
  <c r="M41" i="33"/>
  <c r="K57" i="33" s="1"/>
  <c r="L51" i="31" s="1"/>
  <c r="M42" i="33"/>
  <c r="L58" i="33" s="1"/>
  <c r="M52" i="31" s="1"/>
  <c r="M44" i="33"/>
  <c r="N60" i="33" s="1"/>
  <c r="M47" i="33"/>
  <c r="Q63" i="33" s="1"/>
  <c r="M48" i="33"/>
  <c r="N22" i="33"/>
  <c r="K22" i="33"/>
  <c r="S22" i="33"/>
  <c r="M45" i="33"/>
  <c r="O61" i="33" s="1"/>
  <c r="M49" i="33"/>
  <c r="M39" i="33"/>
  <c r="O22" i="33"/>
  <c r="M14" i="32"/>
  <c r="M22" i="33"/>
  <c r="R22" i="33"/>
  <c r="P22" i="33"/>
  <c r="U22" i="33"/>
  <c r="V22" i="33"/>
  <c r="L22" i="33"/>
  <c r="Q22" i="33"/>
  <c r="T22" i="33"/>
  <c r="M38" i="33"/>
  <c r="O43" i="33"/>
  <c r="K59" i="33" s="1"/>
  <c r="L53" i="31" s="1"/>
  <c r="T16" i="33"/>
  <c r="T14" i="32" s="1"/>
  <c r="J16" i="33"/>
  <c r="J19" i="33" s="1"/>
  <c r="S16" i="33"/>
  <c r="S47" i="33" s="1"/>
  <c r="K63" i="33" s="1"/>
  <c r="L57" i="31" s="1"/>
  <c r="W7" i="31"/>
  <c r="U21" i="33"/>
  <c r="K21" i="33"/>
  <c r="Q21" i="33"/>
  <c r="L46" i="33"/>
  <c r="Q62" i="33" s="1"/>
  <c r="S21" i="33"/>
  <c r="L40" i="33"/>
  <c r="K56" i="33" s="1"/>
  <c r="L50" i="31" s="1"/>
  <c r="L49" i="33"/>
  <c r="T65" i="33" s="1"/>
  <c r="J21" i="33"/>
  <c r="L38" i="33"/>
  <c r="T21" i="33"/>
  <c r="M21" i="33"/>
  <c r="L21" i="33"/>
  <c r="L39" i="33"/>
  <c r="J55" i="33" s="1"/>
  <c r="K49" i="31" s="1"/>
  <c r="V21" i="33"/>
  <c r="P21" i="33"/>
  <c r="L14" i="32"/>
  <c r="N21" i="33"/>
  <c r="L41" i="33"/>
  <c r="L57" i="33" s="1"/>
  <c r="M51" i="31" s="1"/>
  <c r="L37" i="33"/>
  <c r="L44" i="33"/>
  <c r="O60" i="33" s="1"/>
  <c r="L48" i="33"/>
  <c r="S64" i="33" s="1"/>
  <c r="R21" i="33"/>
  <c r="L47" i="33"/>
  <c r="R63" i="33" s="1"/>
  <c r="L42" i="33"/>
  <c r="M58" i="33" s="1"/>
  <c r="L45" i="33"/>
  <c r="P61" i="33" s="1"/>
  <c r="O21" i="33"/>
  <c r="L43" i="33"/>
  <c r="N59" i="33" s="1"/>
  <c r="M26" i="33"/>
  <c r="J26" i="33"/>
  <c r="K26" i="33"/>
  <c r="S26" i="33"/>
  <c r="Q47" i="33"/>
  <c r="M63" i="33" s="1"/>
  <c r="N26" i="33"/>
  <c r="U26" i="33"/>
  <c r="Q45" i="33"/>
  <c r="K61" i="33" s="1"/>
  <c r="L55" i="31" s="1"/>
  <c r="Q48" i="33"/>
  <c r="N64" i="33" s="1"/>
  <c r="T26" i="33"/>
  <c r="Q42" i="33"/>
  <c r="L26" i="33"/>
  <c r="Q40" i="33"/>
  <c r="Q14" i="32"/>
  <c r="V26" i="33"/>
  <c r="Q43" i="33"/>
  <c r="Q37" i="33"/>
  <c r="Q26" i="33"/>
  <c r="Q41" i="33"/>
  <c r="Q49" i="33"/>
  <c r="O65" i="33" s="1"/>
  <c r="Q46" i="33"/>
  <c r="L62" i="33" s="1"/>
  <c r="M56" i="31" s="1"/>
  <c r="O26" i="33"/>
  <c r="R26" i="33"/>
  <c r="Q38" i="33"/>
  <c r="Q39" i="33"/>
  <c r="P26" i="33"/>
  <c r="Q44" i="33"/>
  <c r="J60" i="33" s="1"/>
  <c r="K54" i="31" s="1"/>
  <c r="U43" i="33"/>
  <c r="U14" i="32"/>
  <c r="K30" i="33"/>
  <c r="U47" i="33"/>
  <c r="U49" i="33"/>
  <c r="K65" i="33" s="1"/>
  <c r="L59" i="31" s="1"/>
  <c r="O30" i="33"/>
  <c r="M30" i="33"/>
  <c r="U44" i="33"/>
  <c r="L30" i="33"/>
  <c r="T30" i="33"/>
  <c r="Q30" i="33"/>
  <c r="U46" i="33"/>
  <c r="R30" i="33"/>
  <c r="U42" i="33"/>
  <c r="U40" i="33"/>
  <c r="U39" i="33"/>
  <c r="P30" i="33"/>
  <c r="U37" i="33"/>
  <c r="J30" i="33"/>
  <c r="U38" i="33"/>
  <c r="U41" i="33"/>
  <c r="U30" i="33"/>
  <c r="U45" i="33"/>
  <c r="U48" i="33"/>
  <c r="J64" i="33" s="1"/>
  <c r="K58" i="31" s="1"/>
  <c r="S30" i="33"/>
  <c r="V30" i="33"/>
  <c r="N30" i="33"/>
  <c r="V14" i="32"/>
  <c r="V31" i="33"/>
  <c r="V49" i="33"/>
  <c r="J65" i="33" s="1"/>
  <c r="K59" i="31" s="1"/>
  <c r="M31" i="33"/>
  <c r="O31" i="33"/>
  <c r="V47" i="33"/>
  <c r="T31" i="33"/>
  <c r="V39" i="33"/>
  <c r="N31" i="33"/>
  <c r="V40" i="33"/>
  <c r="V38" i="33"/>
  <c r="V42" i="33"/>
  <c r="V44" i="33"/>
  <c r="K31" i="33"/>
  <c r="Q31" i="33"/>
  <c r="V48" i="33"/>
  <c r="V46" i="33"/>
  <c r="V43" i="33"/>
  <c r="S31" i="33"/>
  <c r="U31" i="33"/>
  <c r="R31" i="33"/>
  <c r="V37" i="33"/>
  <c r="L31" i="33"/>
  <c r="P31" i="33"/>
  <c r="V45" i="33"/>
  <c r="J31" i="33"/>
  <c r="V41" i="33"/>
  <c r="N42" i="33"/>
  <c r="K58" i="33" s="1"/>
  <c r="L52" i="31" s="1"/>
  <c r="Q23" i="33"/>
  <c r="N49" i="33"/>
  <c r="R65" i="33" s="1"/>
  <c r="N38" i="33"/>
  <c r="N47" i="33"/>
  <c r="P63" i="33" s="1"/>
  <c r="N43" i="33"/>
  <c r="L59" i="33" s="1"/>
  <c r="M53" i="31" s="1"/>
  <c r="R23" i="33"/>
  <c r="V23" i="33"/>
  <c r="N48" i="33"/>
  <c r="Q64" i="33" s="1"/>
  <c r="L28" i="33"/>
  <c r="P23" i="33"/>
  <c r="L23" i="33"/>
  <c r="O23" i="33"/>
  <c r="N23" i="33"/>
  <c r="T23" i="33"/>
  <c r="S23" i="33"/>
  <c r="M23" i="33"/>
  <c r="U23" i="33"/>
  <c r="N44" i="33"/>
  <c r="M60" i="33" s="1"/>
  <c r="N37" i="33"/>
  <c r="N14" i="32"/>
  <c r="R28" i="33"/>
  <c r="N40" i="33"/>
  <c r="N39" i="33"/>
  <c r="N45" i="33"/>
  <c r="N61" i="33" s="1"/>
  <c r="N46" i="33"/>
  <c r="O62" i="33" s="1"/>
  <c r="N41" i="33"/>
  <c r="J57" i="33" s="1"/>
  <c r="K51" i="31" s="1"/>
  <c r="V27" i="33"/>
  <c r="M27" i="33"/>
  <c r="R43" i="33"/>
  <c r="J27" i="33"/>
  <c r="P27" i="33"/>
  <c r="R46" i="33"/>
  <c r="K62" i="33" s="1"/>
  <c r="L56" i="31" s="1"/>
  <c r="R14" i="32"/>
  <c r="R42" i="33"/>
  <c r="R49" i="33"/>
  <c r="N65" i="33" s="1"/>
  <c r="R40" i="33"/>
  <c r="R41" i="33"/>
  <c r="W4" i="36"/>
  <c r="AG39" i="33"/>
  <c r="AI55" i="33" s="1"/>
  <c r="AG46" i="33"/>
  <c r="AP62" i="33" s="1"/>
  <c r="AG40" i="33"/>
  <c r="AJ56" i="33" s="1"/>
  <c r="AG37" i="33"/>
  <c r="AG53" i="33" s="1"/>
  <c r="AG44" i="33"/>
  <c r="AN60" i="33" s="1"/>
  <c r="AG41" i="33"/>
  <c r="AK57" i="33" s="1"/>
  <c r="J23" i="36"/>
  <c r="AI19" i="33"/>
  <c r="AI33" i="33" s="1"/>
  <c r="AI34" i="33" s="1"/>
  <c r="L21" i="36" s="1"/>
  <c r="AG42" i="33"/>
  <c r="AL58" i="33" s="1"/>
  <c r="AK19" i="33"/>
  <c r="AK33" i="33" s="1"/>
  <c r="AK34" i="33" s="1"/>
  <c r="N21" i="36" s="1"/>
  <c r="AL19" i="33"/>
  <c r="AL33" i="33" s="1"/>
  <c r="AL34" i="33" s="1"/>
  <c r="O21" i="36" s="1"/>
  <c r="AN19" i="33"/>
  <c r="AN33" i="33" s="1"/>
  <c r="AN34" i="33" s="1"/>
  <c r="Q21" i="36" s="1"/>
  <c r="AO19" i="33"/>
  <c r="AO33" i="33" s="1"/>
  <c r="AO34" i="33" s="1"/>
  <c r="R21" i="36" s="1"/>
  <c r="AQ19" i="33"/>
  <c r="AG45" i="33"/>
  <c r="AO61" i="33" s="1"/>
  <c r="AG49" i="33"/>
  <c r="AT49" i="33" s="1"/>
  <c r="AJ19" i="33"/>
  <c r="AJ33" i="33" s="1"/>
  <c r="AJ34" i="33" s="1"/>
  <c r="M21" i="36" s="1"/>
  <c r="AG47" i="33"/>
  <c r="AQ63" i="33" s="1"/>
  <c r="AM19" i="33"/>
  <c r="AM33" i="33" s="1"/>
  <c r="AM34" i="33" s="1"/>
  <c r="P21" i="36" s="1"/>
  <c r="AG38" i="33"/>
  <c r="AH54" i="33" s="1"/>
  <c r="AP19" i="33"/>
  <c r="AP33" i="33" s="1"/>
  <c r="AP34" i="33" s="1"/>
  <c r="S21" i="36" s="1"/>
  <c r="AR19" i="33"/>
  <c r="AR33" i="33" s="1"/>
  <c r="AR34" i="33" s="1"/>
  <c r="U21" i="36" s="1"/>
  <c r="AS19" i="33"/>
  <c r="AH19" i="33"/>
  <c r="AH33" i="33" s="1"/>
  <c r="AH34" i="33" s="1"/>
  <c r="K21" i="36" s="1"/>
  <c r="AG43" i="33"/>
  <c r="AM59" i="33" s="1"/>
  <c r="AG48" i="33"/>
  <c r="AR64" i="33" s="1"/>
  <c r="AG19" i="33"/>
  <c r="AG33" i="33" s="1"/>
  <c r="AG34" i="33" s="1"/>
  <c r="J21" i="36" s="1"/>
  <c r="J27" i="36"/>
  <c r="AG114" i="33"/>
  <c r="AQ130" i="33" s="1"/>
  <c r="AG110" i="33"/>
  <c r="AM126" i="33" s="1"/>
  <c r="AG106" i="33"/>
  <c r="AI122" i="33" s="1"/>
  <c r="AI86" i="33"/>
  <c r="AM86" i="33"/>
  <c r="AQ86" i="33"/>
  <c r="AG113" i="33"/>
  <c r="AP129" i="33" s="1"/>
  <c r="AG109" i="33"/>
  <c r="AL125" i="33" s="1"/>
  <c r="AG105" i="33"/>
  <c r="AH121" i="33" s="1"/>
  <c r="AJ86" i="33"/>
  <c r="AN86" i="33"/>
  <c r="AR86" i="33"/>
  <c r="AG116" i="33"/>
  <c r="AG112" i="33"/>
  <c r="AO128" i="33" s="1"/>
  <c r="AG108" i="33"/>
  <c r="AK124" i="33" s="1"/>
  <c r="AG104" i="33"/>
  <c r="AG120" i="33" s="1"/>
  <c r="AK86" i="33"/>
  <c r="AO86" i="33"/>
  <c r="AS86" i="33"/>
  <c r="AH86" i="33"/>
  <c r="AG86" i="33"/>
  <c r="AG115" i="33"/>
  <c r="AR131" i="33" s="1"/>
  <c r="AL86" i="33"/>
  <c r="AG111" i="33"/>
  <c r="AN127" i="33" s="1"/>
  <c r="AP86" i="33"/>
  <c r="AG107" i="33"/>
  <c r="AJ123" i="33" s="1"/>
  <c r="Q81" i="33"/>
  <c r="Q82" i="33" s="1"/>
  <c r="Q83" i="33" s="1"/>
  <c r="AN82" i="33"/>
  <c r="AN83" i="33" s="1"/>
  <c r="L81" i="33"/>
  <c r="L82" i="33" s="1"/>
  <c r="R81" i="33"/>
  <c r="R82" i="33" s="1"/>
  <c r="R83" i="33" s="1"/>
  <c r="U81" i="33"/>
  <c r="U82" i="33" s="1"/>
  <c r="T81" i="33"/>
  <c r="T82" i="33" s="1"/>
  <c r="V81" i="33"/>
  <c r="V82" i="33" s="1"/>
  <c r="AS82" i="33"/>
  <c r="AS83" i="33" s="1"/>
  <c r="O81" i="33"/>
  <c r="O82" i="33" s="1"/>
  <c r="AM82" i="33"/>
  <c r="AM83" i="33" s="1"/>
  <c r="M81" i="33"/>
  <c r="M82" i="33" s="1"/>
  <c r="M83" i="33" s="1"/>
  <c r="AJ82" i="33"/>
  <c r="AJ83" i="33" s="1"/>
  <c r="S81" i="33"/>
  <c r="S82" i="33" s="1"/>
  <c r="S83" i="33" s="1"/>
  <c r="AP82" i="33"/>
  <c r="AP83" i="33" s="1"/>
  <c r="N81" i="33"/>
  <c r="N82" i="33" s="1"/>
  <c r="K81" i="33"/>
  <c r="K82" i="33" s="1"/>
  <c r="K83" i="33" s="1"/>
  <c r="K18" i="32" s="1"/>
  <c r="AH82" i="33"/>
  <c r="AH83" i="33" s="1"/>
  <c r="P18" i="32"/>
  <c r="M62" i="33"/>
  <c r="K60" i="33"/>
  <c r="L54" i="31" s="1"/>
  <c r="P65" i="33"/>
  <c r="R64" i="33"/>
  <c r="S65" i="33"/>
  <c r="L61" i="33"/>
  <c r="M55" i="31" s="1"/>
  <c r="O64" i="33"/>
  <c r="N63" i="33"/>
  <c r="J56" i="33"/>
  <c r="K50" i="31" s="1"/>
  <c r="J59" i="33"/>
  <c r="K53" i="31" s="1"/>
  <c r="P62" i="33"/>
  <c r="W76" i="30"/>
  <c r="W75" i="30"/>
  <c r="AB26" i="31"/>
  <c r="W26" i="31"/>
  <c r="R18" i="31"/>
  <c r="K14" i="32"/>
  <c r="K43" i="33"/>
  <c r="R20" i="33"/>
  <c r="L20" i="33"/>
  <c r="K20" i="33"/>
  <c r="P20" i="33"/>
  <c r="K42" i="33"/>
  <c r="K46" i="33"/>
  <c r="K47" i="33"/>
  <c r="O20" i="33"/>
  <c r="K39" i="33"/>
  <c r="K49" i="33"/>
  <c r="K48" i="33"/>
  <c r="Q20" i="33"/>
  <c r="U20" i="33"/>
  <c r="K40" i="33"/>
  <c r="J20" i="33"/>
  <c r="S20" i="33"/>
  <c r="V20" i="33"/>
  <c r="K45" i="33"/>
  <c r="M20" i="33"/>
  <c r="N20" i="33"/>
  <c r="K44" i="33"/>
  <c r="K37" i="33"/>
  <c r="K38" i="33"/>
  <c r="T20" i="33"/>
  <c r="K41" i="33"/>
  <c r="W73" i="30"/>
  <c r="P116" i="33"/>
  <c r="P132" i="33" s="1"/>
  <c r="P114" i="33"/>
  <c r="N130" i="33" s="1"/>
  <c r="P104" i="33"/>
  <c r="Q92" i="33"/>
  <c r="K92" i="33"/>
  <c r="V92" i="33"/>
  <c r="P109" i="33"/>
  <c r="P112" i="33"/>
  <c r="L128" i="33" s="1"/>
  <c r="P115" i="33"/>
  <c r="O131" i="33" s="1"/>
  <c r="P110" i="33"/>
  <c r="J126" i="33" s="1"/>
  <c r="U92" i="33"/>
  <c r="O92" i="33"/>
  <c r="L92" i="33"/>
  <c r="P105" i="33"/>
  <c r="P113" i="33"/>
  <c r="M129" i="33" s="1"/>
  <c r="P108" i="33"/>
  <c r="P111" i="33"/>
  <c r="K127" i="33" s="1"/>
  <c r="P106" i="33"/>
  <c r="N92" i="33"/>
  <c r="S92" i="33"/>
  <c r="P92" i="33"/>
  <c r="P107" i="33"/>
  <c r="M92" i="33"/>
  <c r="T92" i="33"/>
  <c r="R92" i="33"/>
  <c r="J92" i="33"/>
  <c r="J83" i="33"/>
  <c r="C37" i="25"/>
  <c r="S27" i="33" l="1"/>
  <c r="K27" i="33"/>
  <c r="Q27" i="33"/>
  <c r="U27" i="33"/>
  <c r="O27" i="33"/>
  <c r="R48" i="33"/>
  <c r="M64" i="33" s="1"/>
  <c r="R45" i="33"/>
  <c r="J61" i="33" s="1"/>
  <c r="K55" i="31" s="1"/>
  <c r="D55" i="31" s="1"/>
  <c r="T27" i="33"/>
  <c r="R39" i="33"/>
  <c r="R47" i="33"/>
  <c r="L63" i="33" s="1"/>
  <c r="M57" i="31" s="1"/>
  <c r="R27" i="33"/>
  <c r="N27" i="33"/>
  <c r="L27" i="33"/>
  <c r="R38" i="33"/>
  <c r="N24" i="33"/>
  <c r="S24" i="33"/>
  <c r="R24" i="33"/>
  <c r="K24" i="33"/>
  <c r="M24" i="33"/>
  <c r="O24" i="33"/>
  <c r="O39" i="33"/>
  <c r="O48" i="33"/>
  <c r="P64" i="33" s="1"/>
  <c r="O42" i="33"/>
  <c r="J58" i="33" s="1"/>
  <c r="K52" i="31" s="1"/>
  <c r="D52" i="31" s="1"/>
  <c r="J24" i="33"/>
  <c r="O37" i="33"/>
  <c r="O47" i="33"/>
  <c r="O63" i="33" s="1"/>
  <c r="O49" i="33"/>
  <c r="Q65" i="33" s="1"/>
  <c r="Q24" i="33"/>
  <c r="O45" i="33"/>
  <c r="M61" i="33" s="1"/>
  <c r="L24" i="33"/>
  <c r="R44" i="33"/>
  <c r="U24" i="33"/>
  <c r="O44" i="33"/>
  <c r="L60" i="33" s="1"/>
  <c r="M54" i="31" s="1"/>
  <c r="D54" i="31" s="1"/>
  <c r="O38" i="33"/>
  <c r="O46" i="33"/>
  <c r="N62" i="33" s="1"/>
  <c r="O41" i="33"/>
  <c r="D53" i="31"/>
  <c r="D51" i="31"/>
  <c r="K111" i="33"/>
  <c r="P127" i="33" s="1"/>
  <c r="T45" i="33"/>
  <c r="J29" i="33"/>
  <c r="O29" i="33"/>
  <c r="P24" i="33"/>
  <c r="K23" i="33"/>
  <c r="O87" i="33"/>
  <c r="T24" i="33"/>
  <c r="O14" i="32"/>
  <c r="V24" i="33"/>
  <c r="S39" i="33"/>
  <c r="S43" i="33"/>
  <c r="S38" i="33"/>
  <c r="O28" i="33"/>
  <c r="K29" i="33"/>
  <c r="R29" i="33"/>
  <c r="T19" i="33"/>
  <c r="T39" i="33"/>
  <c r="T43" i="33"/>
  <c r="T41" i="33"/>
  <c r="T40" i="33"/>
  <c r="T44" i="33"/>
  <c r="M29" i="33"/>
  <c r="T42" i="33"/>
  <c r="T37" i="33"/>
  <c r="Q29" i="33"/>
  <c r="Q28" i="33"/>
  <c r="S49" i="33"/>
  <c r="M65" i="33" s="1"/>
  <c r="S41" i="33"/>
  <c r="K28" i="33"/>
  <c r="V28" i="33"/>
  <c r="S40" i="33"/>
  <c r="U28" i="33"/>
  <c r="S42" i="33"/>
  <c r="S14" i="32"/>
  <c r="S28" i="33"/>
  <c r="T28" i="33"/>
  <c r="S46" i="33"/>
  <c r="J62" i="33" s="1"/>
  <c r="K56" i="31" s="1"/>
  <c r="D56" i="31" s="1"/>
  <c r="S48" i="33"/>
  <c r="L64" i="33" s="1"/>
  <c r="M58" i="31" s="1"/>
  <c r="S45" i="33"/>
  <c r="S44" i="33"/>
  <c r="S37" i="33"/>
  <c r="N28" i="33"/>
  <c r="J28" i="33"/>
  <c r="P28" i="33"/>
  <c r="M28" i="33"/>
  <c r="U19" i="33"/>
  <c r="J38" i="33"/>
  <c r="K54" i="33" s="1"/>
  <c r="L48" i="31" s="1"/>
  <c r="M19" i="33"/>
  <c r="P19" i="33"/>
  <c r="O19" i="33"/>
  <c r="J14" i="32"/>
  <c r="K19" i="33"/>
  <c r="R19" i="33"/>
  <c r="J48" i="33"/>
  <c r="U64" i="33" s="1"/>
  <c r="J41" i="33"/>
  <c r="N57" i="33" s="1"/>
  <c r="J49" i="33"/>
  <c r="Q19" i="33"/>
  <c r="L19" i="33"/>
  <c r="J46" i="33"/>
  <c r="S62" i="33" s="1"/>
  <c r="J45" i="33"/>
  <c r="R61" i="33" s="1"/>
  <c r="J47" i="33"/>
  <c r="T63" i="33" s="1"/>
  <c r="V19" i="33"/>
  <c r="J43" i="33"/>
  <c r="P59" i="33" s="1"/>
  <c r="J37" i="33"/>
  <c r="J53" i="33" s="1"/>
  <c r="K47" i="31" s="1"/>
  <c r="D47" i="31" s="1"/>
  <c r="N19" i="33"/>
  <c r="J39" i="33"/>
  <c r="L55" i="33" s="1"/>
  <c r="M49" i="31" s="1"/>
  <c r="J40" i="33"/>
  <c r="M56" i="33" s="1"/>
  <c r="S19" i="33"/>
  <c r="J44" i="33"/>
  <c r="Q60" i="33" s="1"/>
  <c r="J42" i="33"/>
  <c r="O58" i="33" s="1"/>
  <c r="L29" i="33"/>
  <c r="T38" i="33"/>
  <c r="T47" i="33"/>
  <c r="J63" i="33" s="1"/>
  <c r="K57" i="31" s="1"/>
  <c r="V29" i="33"/>
  <c r="T46" i="33"/>
  <c r="T49" i="33"/>
  <c r="L65" i="33" s="1"/>
  <c r="M59" i="31" s="1"/>
  <c r="D59" i="31" s="1"/>
  <c r="T48" i="33"/>
  <c r="K64" i="33" s="1"/>
  <c r="L58" i="31" s="1"/>
  <c r="P29" i="33"/>
  <c r="N29" i="33"/>
  <c r="U29" i="33"/>
  <c r="T29" i="33"/>
  <c r="S29" i="33"/>
  <c r="AT39" i="33"/>
  <c r="U87" i="33"/>
  <c r="K112" i="33"/>
  <c r="Q128" i="33" s="1"/>
  <c r="K110" i="33"/>
  <c r="O126" i="33" s="1"/>
  <c r="V87" i="33"/>
  <c r="R87" i="33"/>
  <c r="M87" i="33"/>
  <c r="J87" i="33"/>
  <c r="K104" i="33"/>
  <c r="P87" i="33"/>
  <c r="K87" i="33"/>
  <c r="K116" i="33"/>
  <c r="U132" i="33" s="1"/>
  <c r="S87" i="33"/>
  <c r="K113" i="33"/>
  <c r="R129" i="33" s="1"/>
  <c r="T87" i="33"/>
  <c r="K114" i="33"/>
  <c r="S130" i="33" s="1"/>
  <c r="Q87" i="33"/>
  <c r="K108" i="33"/>
  <c r="M124" i="33" s="1"/>
  <c r="K115" i="33"/>
  <c r="T131" i="33" s="1"/>
  <c r="L87" i="33"/>
  <c r="K107" i="33"/>
  <c r="L123" i="33" s="1"/>
  <c r="U50" i="31" s="1"/>
  <c r="K109" i="33"/>
  <c r="N125" i="33" s="1"/>
  <c r="K106" i="33"/>
  <c r="K122" i="33" s="1"/>
  <c r="T49" i="31" s="1"/>
  <c r="K105" i="33"/>
  <c r="J121" i="33" s="1"/>
  <c r="S48" i="31" s="1"/>
  <c r="N87" i="33"/>
  <c r="AT48" i="33"/>
  <c r="AT46" i="33"/>
  <c r="AT42" i="33"/>
  <c r="AT43" i="33"/>
  <c r="AT41" i="33"/>
  <c r="AT47" i="33"/>
  <c r="AT45" i="33"/>
  <c r="AT37" i="33"/>
  <c r="AT38" i="33"/>
  <c r="AP106" i="33"/>
  <c r="AI95" i="33"/>
  <c r="AM95" i="33"/>
  <c r="AQ95" i="33"/>
  <c r="AP105" i="33"/>
  <c r="AJ95" i="33"/>
  <c r="AN95" i="33"/>
  <c r="AR95" i="33"/>
  <c r="AP104" i="33"/>
  <c r="AP108" i="33"/>
  <c r="AP110" i="33"/>
  <c r="AP111" i="33"/>
  <c r="AP112" i="33"/>
  <c r="AP113" i="33"/>
  <c r="AG129" i="33" s="1"/>
  <c r="AP114" i="33"/>
  <c r="AH130" i="33" s="1"/>
  <c r="AP115" i="33"/>
  <c r="AI131" i="33" s="1"/>
  <c r="AP116" i="33"/>
  <c r="AJ132" i="33" s="1"/>
  <c r="AK95" i="33"/>
  <c r="AO95" i="33"/>
  <c r="AS95" i="33"/>
  <c r="AL95" i="33"/>
  <c r="AP109" i="33"/>
  <c r="AP107" i="33"/>
  <c r="AP95" i="33"/>
  <c r="AH95" i="33"/>
  <c r="AG95" i="33"/>
  <c r="S27" i="36"/>
  <c r="P27" i="36"/>
  <c r="AM104" i="33"/>
  <c r="AM105" i="33"/>
  <c r="AM106" i="33"/>
  <c r="AM107" i="33"/>
  <c r="AM108" i="33"/>
  <c r="AM109" i="33"/>
  <c r="AI92" i="33"/>
  <c r="AM92" i="33"/>
  <c r="AQ92" i="33"/>
  <c r="AJ92" i="33"/>
  <c r="AN92" i="33"/>
  <c r="AR92" i="33"/>
  <c r="AK92" i="33"/>
  <c r="AO92" i="33"/>
  <c r="AS92" i="33"/>
  <c r="AM111" i="33"/>
  <c r="AH127" i="33" s="1"/>
  <c r="AM115" i="33"/>
  <c r="AL131" i="33" s="1"/>
  <c r="AP92" i="33"/>
  <c r="AM116" i="33"/>
  <c r="AM132" i="33" s="1"/>
  <c r="AL92" i="33"/>
  <c r="AM110" i="33"/>
  <c r="AG126" i="33" s="1"/>
  <c r="AM114" i="33"/>
  <c r="AK130" i="33" s="1"/>
  <c r="AM113" i="33"/>
  <c r="AJ129" i="33" s="1"/>
  <c r="AH92" i="33"/>
  <c r="AG92" i="33"/>
  <c r="AM112" i="33"/>
  <c r="AI128" i="33" s="1"/>
  <c r="AH104" i="33"/>
  <c r="AH108" i="33"/>
  <c r="AJ124" i="33" s="1"/>
  <c r="AI87" i="33"/>
  <c r="AM87" i="33"/>
  <c r="AQ87" i="33"/>
  <c r="K27" i="36"/>
  <c r="AH107" i="33"/>
  <c r="AI123" i="33" s="1"/>
  <c r="AJ87" i="33"/>
  <c r="AN87" i="33"/>
  <c r="AR87" i="33"/>
  <c r="AH106" i="33"/>
  <c r="AH122" i="33" s="1"/>
  <c r="AH110" i="33"/>
  <c r="AL126" i="33" s="1"/>
  <c r="AH111" i="33"/>
  <c r="AM127" i="33" s="1"/>
  <c r="AH112" i="33"/>
  <c r="AN128" i="33" s="1"/>
  <c r="AH113" i="33"/>
  <c r="AO129" i="33" s="1"/>
  <c r="AH114" i="33"/>
  <c r="AP130" i="33" s="1"/>
  <c r="AH115" i="33"/>
  <c r="AQ131" i="33" s="1"/>
  <c r="AH116" i="33"/>
  <c r="AR132" i="33" s="1"/>
  <c r="AK87" i="33"/>
  <c r="AO87" i="33"/>
  <c r="AS87" i="33"/>
  <c r="AL87" i="33"/>
  <c r="AG87" i="33"/>
  <c r="AP87" i="33"/>
  <c r="AH87" i="33"/>
  <c r="AH109" i="33"/>
  <c r="AK125" i="33" s="1"/>
  <c r="AH105" i="33"/>
  <c r="AG121" i="33" s="1"/>
  <c r="Q27" i="36"/>
  <c r="AN104" i="33"/>
  <c r="AN105" i="33"/>
  <c r="AN106" i="33"/>
  <c r="AN107" i="33"/>
  <c r="AN108" i="33"/>
  <c r="AN110" i="33"/>
  <c r="AN111" i="33"/>
  <c r="AG127" i="33" s="1"/>
  <c r="AN112" i="33"/>
  <c r="AH128" i="33" s="1"/>
  <c r="AN113" i="33"/>
  <c r="AI129" i="33" s="1"/>
  <c r="AN114" i="33"/>
  <c r="AJ130" i="33" s="1"/>
  <c r="AN115" i="33"/>
  <c r="AK131" i="33" s="1"/>
  <c r="AN116" i="33"/>
  <c r="AL132" i="33" s="1"/>
  <c r="AI93" i="33"/>
  <c r="AM93" i="33"/>
  <c r="AQ93" i="33"/>
  <c r="AJ93" i="33"/>
  <c r="AN93" i="33"/>
  <c r="AR93" i="33"/>
  <c r="AN109" i="33"/>
  <c r="AK93" i="33"/>
  <c r="AO93" i="33"/>
  <c r="AS93" i="33"/>
  <c r="AH93" i="33"/>
  <c r="AG93" i="33"/>
  <c r="AL93" i="33"/>
  <c r="AP93" i="33"/>
  <c r="V27" i="36"/>
  <c r="AS104" i="33"/>
  <c r="AS105" i="33"/>
  <c r="AS106" i="33"/>
  <c r="AS107" i="33"/>
  <c r="AS108" i="33"/>
  <c r="AS109" i="33"/>
  <c r="AS110" i="33"/>
  <c r="AS111" i="33"/>
  <c r="AS112" i="33"/>
  <c r="AS113" i="33"/>
  <c r="AS114" i="33"/>
  <c r="AS115" i="33"/>
  <c r="AS116" i="33"/>
  <c r="AG132" i="33" s="1"/>
  <c r="AJ98" i="33"/>
  <c r="AK98" i="33"/>
  <c r="AL98" i="33"/>
  <c r="AP98" i="33"/>
  <c r="AG98" i="33"/>
  <c r="AS98" i="33"/>
  <c r="AM98" i="33"/>
  <c r="AQ98" i="33"/>
  <c r="AI98" i="33"/>
  <c r="AH98" i="33"/>
  <c r="AN98" i="33"/>
  <c r="AR98" i="33"/>
  <c r="AO98" i="33"/>
  <c r="M27" i="36"/>
  <c r="AJ104" i="33"/>
  <c r="AJ105" i="33"/>
  <c r="AJ106" i="33"/>
  <c r="AJ107" i="33"/>
  <c r="AG123" i="33" s="1"/>
  <c r="AJ108" i="33"/>
  <c r="AH124" i="33" s="1"/>
  <c r="AJ109" i="33"/>
  <c r="AI125" i="33" s="1"/>
  <c r="AJ110" i="33"/>
  <c r="AJ126" i="33" s="1"/>
  <c r="AJ111" i="33"/>
  <c r="AK127" i="33" s="1"/>
  <c r="AJ112" i="33"/>
  <c r="AL128" i="33" s="1"/>
  <c r="AJ113" i="33"/>
  <c r="AM129" i="33" s="1"/>
  <c r="AJ114" i="33"/>
  <c r="AN130" i="33" s="1"/>
  <c r="AJ115" i="33"/>
  <c r="AO131" i="33" s="1"/>
  <c r="AJ116" i="33"/>
  <c r="AP132" i="33" s="1"/>
  <c r="AI89" i="33"/>
  <c r="AM89" i="33"/>
  <c r="AQ89" i="33"/>
  <c r="AJ89" i="33"/>
  <c r="AN89" i="33"/>
  <c r="AR89" i="33"/>
  <c r="AK89" i="33"/>
  <c r="AO89" i="33"/>
  <c r="AS89" i="33"/>
  <c r="AH89" i="33"/>
  <c r="AG89" i="33"/>
  <c r="AL89" i="33"/>
  <c r="AP89" i="33"/>
  <c r="AR82" i="33"/>
  <c r="AR83" i="33" s="1"/>
  <c r="AI82" i="33"/>
  <c r="AI83" i="33" s="1"/>
  <c r="AK82" i="33"/>
  <c r="AK83" i="33" s="1"/>
  <c r="AL82" i="33"/>
  <c r="AL83" i="33" s="1"/>
  <c r="AQ82" i="33"/>
  <c r="AQ83" i="33" s="1"/>
  <c r="AO82" i="33"/>
  <c r="AO83" i="33" s="1"/>
  <c r="R18" i="32"/>
  <c r="S18" i="32"/>
  <c r="S53" i="31"/>
  <c r="J18" i="32"/>
  <c r="M18" i="32"/>
  <c r="T54" i="31"/>
  <c r="Q18" i="32"/>
  <c r="U55" i="31"/>
  <c r="J54" i="33"/>
  <c r="K48" i="31" s="1"/>
  <c r="T64" i="33"/>
  <c r="Q61" i="33"/>
  <c r="L56" i="33"/>
  <c r="M50" i="31" s="1"/>
  <c r="D50" i="31" s="1"/>
  <c r="U65" i="33"/>
  <c r="R62" i="33"/>
  <c r="W23" i="36"/>
  <c r="AS33" i="33"/>
  <c r="AS34" i="33" s="1"/>
  <c r="V21" i="36" s="1"/>
  <c r="M57" i="33"/>
  <c r="P60" i="33"/>
  <c r="K55" i="33"/>
  <c r="L49" i="31" s="1"/>
  <c r="N58" i="33"/>
  <c r="AT40" i="33"/>
  <c r="S63" i="33"/>
  <c r="O59" i="33"/>
  <c r="AQ33" i="33"/>
  <c r="AQ34" i="33" s="1"/>
  <c r="T21" i="36" s="1"/>
  <c r="AT44" i="33"/>
  <c r="M114" i="33"/>
  <c r="Q130" i="33" s="1"/>
  <c r="M113" i="33"/>
  <c r="P129" i="33" s="1"/>
  <c r="M116" i="33"/>
  <c r="S132" i="33" s="1"/>
  <c r="M104" i="33"/>
  <c r="S89" i="33"/>
  <c r="K89" i="33"/>
  <c r="U89" i="33"/>
  <c r="O89" i="33"/>
  <c r="M105" i="33"/>
  <c r="M110" i="33"/>
  <c r="M126" i="33" s="1"/>
  <c r="M109" i="33"/>
  <c r="L125" i="33" s="1"/>
  <c r="M112" i="33"/>
  <c r="O128" i="33" s="1"/>
  <c r="N89" i="33"/>
  <c r="L89" i="33"/>
  <c r="J89" i="33"/>
  <c r="M115" i="33"/>
  <c r="R131" i="33" s="1"/>
  <c r="M106" i="33"/>
  <c r="M111" i="33"/>
  <c r="N127" i="33" s="1"/>
  <c r="M108" i="33"/>
  <c r="K124" i="33" s="1"/>
  <c r="R89" i="33"/>
  <c r="P89" i="33"/>
  <c r="M89" i="33"/>
  <c r="M107" i="33"/>
  <c r="J123" i="33" s="1"/>
  <c r="T89" i="33"/>
  <c r="Q89" i="33"/>
  <c r="V89" i="33"/>
  <c r="R115" i="33"/>
  <c r="M131" i="33" s="1"/>
  <c r="R116" i="33"/>
  <c r="N132" i="33" s="1"/>
  <c r="R112" i="33"/>
  <c r="J128" i="33" s="1"/>
  <c r="R108" i="33"/>
  <c r="J94" i="33"/>
  <c r="Q94" i="33"/>
  <c r="V94" i="33"/>
  <c r="R104" i="33"/>
  <c r="R94" i="33"/>
  <c r="R111" i="33"/>
  <c r="R114" i="33"/>
  <c r="L130" i="33" s="1"/>
  <c r="R105" i="33"/>
  <c r="K94" i="33"/>
  <c r="L94" i="33"/>
  <c r="U94" i="33"/>
  <c r="P94" i="33"/>
  <c r="R106" i="33"/>
  <c r="M94" i="33"/>
  <c r="R107" i="33"/>
  <c r="R110" i="33"/>
  <c r="R113" i="33"/>
  <c r="K129" i="33" s="1"/>
  <c r="O94" i="33"/>
  <c r="T94" i="33"/>
  <c r="N94" i="33"/>
  <c r="R109" i="33"/>
  <c r="S94" i="33"/>
  <c r="S95" i="33"/>
  <c r="N95" i="33"/>
  <c r="M95" i="33"/>
  <c r="P95" i="33"/>
  <c r="R95" i="33"/>
  <c r="O95" i="33"/>
  <c r="T95" i="33"/>
  <c r="U95" i="33"/>
  <c r="K95" i="33"/>
  <c r="V95" i="33"/>
  <c r="J95" i="33"/>
  <c r="Q95" i="33"/>
  <c r="S108" i="33"/>
  <c r="S111" i="33"/>
  <c r="S110" i="33"/>
  <c r="S114" i="33"/>
  <c r="K130" i="33" s="1"/>
  <c r="L95" i="33"/>
  <c r="S105" i="33"/>
  <c r="S107" i="33"/>
  <c r="S106" i="33"/>
  <c r="S112" i="33"/>
  <c r="S116" i="33"/>
  <c r="M132" i="33" s="1"/>
  <c r="S109" i="33"/>
  <c r="S104" i="33"/>
  <c r="S113" i="33"/>
  <c r="J129" i="33" s="1"/>
  <c r="S115" i="33"/>
  <c r="L131" i="33" s="1"/>
  <c r="Q113" i="33"/>
  <c r="L129" i="33" s="1"/>
  <c r="Q116" i="33"/>
  <c r="O132" i="33" s="1"/>
  <c r="Q111" i="33"/>
  <c r="J127" i="33" s="1"/>
  <c r="V93" i="33"/>
  <c r="T93" i="33"/>
  <c r="U93" i="33"/>
  <c r="Q106" i="33"/>
  <c r="Q93" i="33"/>
  <c r="Q114" i="33"/>
  <c r="M130" i="33" s="1"/>
  <c r="Q109" i="33"/>
  <c r="Q112" i="33"/>
  <c r="K128" i="33" s="1"/>
  <c r="Q107" i="33"/>
  <c r="O93" i="33"/>
  <c r="S93" i="33"/>
  <c r="K93" i="33"/>
  <c r="Q104" i="33"/>
  <c r="P93" i="33"/>
  <c r="Q110" i="33"/>
  <c r="Q115" i="33"/>
  <c r="N131" i="33" s="1"/>
  <c r="Q108" i="33"/>
  <c r="N93" i="33"/>
  <c r="L93" i="33"/>
  <c r="M93" i="33"/>
  <c r="J93" i="33"/>
  <c r="Q105" i="33"/>
  <c r="R93" i="33"/>
  <c r="J112" i="33"/>
  <c r="R128" i="33" s="1"/>
  <c r="J111" i="33"/>
  <c r="Q127" i="33" s="1"/>
  <c r="J114" i="33"/>
  <c r="T130" i="33" s="1"/>
  <c r="Q86" i="33"/>
  <c r="O86" i="33"/>
  <c r="L86" i="33"/>
  <c r="J104" i="33"/>
  <c r="J120" i="33" s="1"/>
  <c r="M86" i="33"/>
  <c r="R86" i="33"/>
  <c r="J108" i="33"/>
  <c r="N124" i="33" s="1"/>
  <c r="J107" i="33"/>
  <c r="M123" i="33" s="1"/>
  <c r="J110" i="33"/>
  <c r="P126" i="33" s="1"/>
  <c r="U86" i="33"/>
  <c r="S86" i="33"/>
  <c r="P86" i="33"/>
  <c r="J116" i="33"/>
  <c r="J109" i="33"/>
  <c r="O125" i="33" s="1"/>
  <c r="V86" i="33"/>
  <c r="J105" i="33"/>
  <c r="K121" i="33" s="1"/>
  <c r="J113" i="33"/>
  <c r="S129" i="33" s="1"/>
  <c r="J106" i="33"/>
  <c r="L122" i="33" s="1"/>
  <c r="N86" i="33"/>
  <c r="J86" i="33"/>
  <c r="T86" i="33"/>
  <c r="J115" i="33"/>
  <c r="U131" i="33" s="1"/>
  <c r="K86" i="33"/>
  <c r="L83" i="33"/>
  <c r="N83" i="33"/>
  <c r="V83" i="33"/>
  <c r="U83" i="33"/>
  <c r="T83" i="33"/>
  <c r="O83" i="33"/>
  <c r="C38" i="25"/>
  <c r="D57" i="31" l="1"/>
  <c r="J33" i="33"/>
  <c r="J34" i="33" s="1"/>
  <c r="J12" i="32" s="1"/>
  <c r="D49" i="31"/>
  <c r="D58" i="31"/>
  <c r="AB14" i="32"/>
  <c r="D48" i="31"/>
  <c r="R33" i="33"/>
  <c r="R34" i="33" s="1"/>
  <c r="O33" i="33"/>
  <c r="O34" i="33" s="1"/>
  <c r="O12" i="32" s="1"/>
  <c r="L33" i="33"/>
  <c r="L34" i="33" s="1"/>
  <c r="L12" i="32" s="1"/>
  <c r="V33" i="33"/>
  <c r="V34" i="33" s="1"/>
  <c r="V12" i="32" s="1"/>
  <c r="W14" i="32"/>
  <c r="K33" i="33"/>
  <c r="K34" i="33" s="1"/>
  <c r="K12" i="32" s="1"/>
  <c r="W42" i="33"/>
  <c r="W43" i="33"/>
  <c r="W39" i="33"/>
  <c r="Q33" i="33"/>
  <c r="Q34" i="33" s="1"/>
  <c r="Q12" i="32" s="1"/>
  <c r="W38" i="33"/>
  <c r="S33" i="33"/>
  <c r="S34" i="33" s="1"/>
  <c r="S12" i="32" s="1"/>
  <c r="W49" i="33"/>
  <c r="U33" i="33"/>
  <c r="U34" i="33" s="1"/>
  <c r="U12" i="32" s="1"/>
  <c r="W45" i="33"/>
  <c r="W41" i="33"/>
  <c r="T33" i="33"/>
  <c r="T34" i="33" s="1"/>
  <c r="T12" i="32" s="1"/>
  <c r="M33" i="33"/>
  <c r="M34" i="33" s="1"/>
  <c r="M12" i="32" s="1"/>
  <c r="P33" i="33"/>
  <c r="P34" i="33" s="1"/>
  <c r="P12" i="32" s="1"/>
  <c r="W37" i="33"/>
  <c r="W47" i="33"/>
  <c r="W48" i="33"/>
  <c r="W46" i="33"/>
  <c r="W44" i="33"/>
  <c r="N33" i="33"/>
  <c r="N34" i="33" s="1"/>
  <c r="N12" i="32" s="1"/>
  <c r="W40" i="33"/>
  <c r="U27" i="36"/>
  <c r="AR104" i="33"/>
  <c r="AR105" i="33"/>
  <c r="AR106" i="33"/>
  <c r="AR107" i="33"/>
  <c r="AR108" i="33"/>
  <c r="AR109" i="33"/>
  <c r="AR110" i="33"/>
  <c r="AR111" i="33"/>
  <c r="AR112" i="33"/>
  <c r="AR113" i="33"/>
  <c r="AR114" i="33"/>
  <c r="AR115" i="33"/>
  <c r="AG131" i="33" s="1"/>
  <c r="AR116" i="33"/>
  <c r="AH132" i="33" s="1"/>
  <c r="AI97" i="33"/>
  <c r="AJ97" i="33"/>
  <c r="AN97" i="33"/>
  <c r="AR97" i="33"/>
  <c r="AK97" i="33"/>
  <c r="AO97" i="33"/>
  <c r="AS97" i="33"/>
  <c r="AP97" i="33"/>
  <c r="AH97" i="33"/>
  <c r="AQ97" i="33"/>
  <c r="AG97" i="33"/>
  <c r="AL97" i="33"/>
  <c r="AM97" i="33"/>
  <c r="R27" i="36"/>
  <c r="AO104" i="33"/>
  <c r="AO105" i="33"/>
  <c r="AO106" i="33"/>
  <c r="AO107" i="33"/>
  <c r="AO108" i="33"/>
  <c r="AO109" i="33"/>
  <c r="AI94" i="33"/>
  <c r="AM94" i="33"/>
  <c r="AQ94" i="33"/>
  <c r="AO110" i="33"/>
  <c r="AO111" i="33"/>
  <c r="AO112" i="33"/>
  <c r="AG128" i="33" s="1"/>
  <c r="AO113" i="33"/>
  <c r="AH129" i="33" s="1"/>
  <c r="AO114" i="33"/>
  <c r="AI130" i="33" s="1"/>
  <c r="AO115" i="33"/>
  <c r="AJ131" i="33" s="1"/>
  <c r="AO116" i="33"/>
  <c r="AK132" i="33" s="1"/>
  <c r="AJ94" i="33"/>
  <c r="AN94" i="33"/>
  <c r="AR94" i="33"/>
  <c r="AK94" i="33"/>
  <c r="AO94" i="33"/>
  <c r="AS94" i="33"/>
  <c r="AH94" i="33"/>
  <c r="AG94" i="33"/>
  <c r="AL94" i="33"/>
  <c r="AP94" i="33"/>
  <c r="N27" i="36"/>
  <c r="AK104" i="33"/>
  <c r="AK105" i="33"/>
  <c r="AK106" i="33"/>
  <c r="AK107" i="33"/>
  <c r="AK108" i="33"/>
  <c r="AG124" i="33" s="1"/>
  <c r="AK109" i="33"/>
  <c r="AH125" i="33" s="1"/>
  <c r="AI90" i="33"/>
  <c r="AM90" i="33"/>
  <c r="AQ90" i="33"/>
  <c r="AK110" i="33"/>
  <c r="AI126" i="33" s="1"/>
  <c r="AK111" i="33"/>
  <c r="AJ127" i="33" s="1"/>
  <c r="AK112" i="33"/>
  <c r="AK128" i="33" s="1"/>
  <c r="AK113" i="33"/>
  <c r="AL129" i="33" s="1"/>
  <c r="AK114" i="33"/>
  <c r="AM130" i="33" s="1"/>
  <c r="AK115" i="33"/>
  <c r="AN131" i="33" s="1"/>
  <c r="AK116" i="33"/>
  <c r="AO132" i="33" s="1"/>
  <c r="AJ90" i="33"/>
  <c r="AN90" i="33"/>
  <c r="AR90" i="33"/>
  <c r="AK90" i="33"/>
  <c r="AO90" i="33"/>
  <c r="AS90" i="33"/>
  <c r="AH90" i="33"/>
  <c r="AG90" i="33"/>
  <c r="AL90" i="33"/>
  <c r="AP90" i="33"/>
  <c r="T27" i="36"/>
  <c r="AQ104" i="33"/>
  <c r="AQ105" i="33"/>
  <c r="AQ106" i="33"/>
  <c r="AQ107" i="33"/>
  <c r="AQ108" i="33"/>
  <c r="AQ109" i="33"/>
  <c r="AI96" i="33"/>
  <c r="AM96" i="33"/>
  <c r="AQ96" i="33"/>
  <c r="AJ96" i="33"/>
  <c r="AN96" i="33"/>
  <c r="AR96" i="33"/>
  <c r="AK96" i="33"/>
  <c r="AO96" i="33"/>
  <c r="AS96" i="33"/>
  <c r="AQ112" i="33"/>
  <c r="AQ116" i="33"/>
  <c r="AI132" i="33" s="1"/>
  <c r="AP96" i="33"/>
  <c r="AQ113" i="33"/>
  <c r="AL96" i="33"/>
  <c r="AQ111" i="33"/>
  <c r="AQ115" i="33"/>
  <c r="AH131" i="33" s="1"/>
  <c r="AQ110" i="33"/>
  <c r="AQ114" i="33"/>
  <c r="AG130" i="33" s="1"/>
  <c r="AH96" i="33"/>
  <c r="AG96" i="33"/>
  <c r="L27" i="36"/>
  <c r="AI104" i="33"/>
  <c r="AI105" i="33"/>
  <c r="AI106" i="33"/>
  <c r="AG122" i="33" s="1"/>
  <c r="AI107" i="33"/>
  <c r="AH123" i="33" s="1"/>
  <c r="AI108" i="33"/>
  <c r="AI124" i="33" s="1"/>
  <c r="AI109" i="33"/>
  <c r="AJ125" i="33" s="1"/>
  <c r="AI88" i="33"/>
  <c r="AM88" i="33"/>
  <c r="AQ88" i="33"/>
  <c r="AJ88" i="33"/>
  <c r="AN88" i="33"/>
  <c r="AR88" i="33"/>
  <c r="AK88" i="33"/>
  <c r="AO88" i="33"/>
  <c r="AS88" i="33"/>
  <c r="AI110" i="33"/>
  <c r="AK126" i="33" s="1"/>
  <c r="AI114" i="33"/>
  <c r="AO130" i="33" s="1"/>
  <c r="AP88" i="33"/>
  <c r="AL88" i="33"/>
  <c r="AI113" i="33"/>
  <c r="AN129" i="33" s="1"/>
  <c r="AI111" i="33"/>
  <c r="AL127" i="33" s="1"/>
  <c r="AI115" i="33"/>
  <c r="AP131" i="33" s="1"/>
  <c r="AI112" i="33"/>
  <c r="AM128" i="33" s="1"/>
  <c r="AI116" i="33"/>
  <c r="AQ132" i="33" s="1"/>
  <c r="AH88" i="33"/>
  <c r="AG88" i="33"/>
  <c r="AL105" i="33"/>
  <c r="AI91" i="33"/>
  <c r="AM91" i="33"/>
  <c r="AQ91" i="33"/>
  <c r="AL104" i="33"/>
  <c r="AL108" i="33"/>
  <c r="AL109" i="33"/>
  <c r="AG125" i="33" s="1"/>
  <c r="AJ91" i="33"/>
  <c r="AN91" i="33"/>
  <c r="AR91" i="33"/>
  <c r="O27" i="36"/>
  <c r="AL107" i="33"/>
  <c r="AL110" i="33"/>
  <c r="AH126" i="33" s="1"/>
  <c r="AL111" i="33"/>
  <c r="AI127" i="33" s="1"/>
  <c r="AL112" i="33"/>
  <c r="AJ128" i="33" s="1"/>
  <c r="AL113" i="33"/>
  <c r="AK129" i="33" s="1"/>
  <c r="AL114" i="33"/>
  <c r="AL130" i="33" s="1"/>
  <c r="AL115" i="33"/>
  <c r="AM131" i="33" s="1"/>
  <c r="AL116" i="33"/>
  <c r="AN132" i="33" s="1"/>
  <c r="AK91" i="33"/>
  <c r="AO91" i="33"/>
  <c r="AS91" i="33"/>
  <c r="AL106" i="33"/>
  <c r="AL91" i="33"/>
  <c r="AP91" i="33"/>
  <c r="AH91" i="33"/>
  <c r="AG91" i="33"/>
  <c r="T57" i="31"/>
  <c r="V18" i="32"/>
  <c r="S54" i="31"/>
  <c r="S50" i="31"/>
  <c r="O18" i="32"/>
  <c r="N18" i="32"/>
  <c r="L18" i="32"/>
  <c r="U56" i="31"/>
  <c r="U57" i="31"/>
  <c r="S55" i="31"/>
  <c r="T55" i="31"/>
  <c r="S56" i="31"/>
  <c r="T56" i="31"/>
  <c r="T51" i="31"/>
  <c r="U52" i="31"/>
  <c r="T18" i="32"/>
  <c r="U18" i="32"/>
  <c r="U58" i="31"/>
  <c r="R12" i="32"/>
  <c r="S91" i="33"/>
  <c r="R91" i="33"/>
  <c r="M91" i="33"/>
  <c r="O91" i="33"/>
  <c r="N91" i="33"/>
  <c r="U91" i="33"/>
  <c r="T91" i="33"/>
  <c r="J91" i="33"/>
  <c r="V91" i="33"/>
  <c r="K91" i="33"/>
  <c r="Q91" i="33"/>
  <c r="P91" i="33"/>
  <c r="O112" i="33"/>
  <c r="M128" i="33" s="1"/>
  <c r="O111" i="33"/>
  <c r="L127" i="33" s="1"/>
  <c r="O114" i="33"/>
  <c r="O130" i="33" s="1"/>
  <c r="O115" i="33"/>
  <c r="P131" i="33" s="1"/>
  <c r="O108" i="33"/>
  <c r="O107" i="33"/>
  <c r="O110" i="33"/>
  <c r="K126" i="33" s="1"/>
  <c r="O113" i="33"/>
  <c r="N129" i="33" s="1"/>
  <c r="L91" i="33"/>
  <c r="O105" i="33"/>
  <c r="O104" i="33"/>
  <c r="O106" i="33"/>
  <c r="O116" i="33"/>
  <c r="Q132" i="33" s="1"/>
  <c r="O109" i="33"/>
  <c r="J125" i="33" s="1"/>
  <c r="N111" i="33"/>
  <c r="M127" i="33" s="1"/>
  <c r="N114" i="33"/>
  <c r="P130" i="33" s="1"/>
  <c r="N113" i="33"/>
  <c r="O129" i="33" s="1"/>
  <c r="K90" i="33"/>
  <c r="T90" i="33"/>
  <c r="L90" i="33"/>
  <c r="P90" i="33"/>
  <c r="N115" i="33"/>
  <c r="Q131" i="33" s="1"/>
  <c r="N105" i="33"/>
  <c r="N107" i="33"/>
  <c r="N110" i="33"/>
  <c r="L126" i="33" s="1"/>
  <c r="N109" i="33"/>
  <c r="K125" i="33" s="1"/>
  <c r="O90" i="33"/>
  <c r="M90" i="33"/>
  <c r="N90" i="33"/>
  <c r="N108" i="33"/>
  <c r="J124" i="33" s="1"/>
  <c r="N104" i="33"/>
  <c r="N106" i="33"/>
  <c r="N112" i="33"/>
  <c r="N128" i="33" s="1"/>
  <c r="S90" i="33"/>
  <c r="Q90" i="33"/>
  <c r="R90" i="33"/>
  <c r="N116" i="33"/>
  <c r="R132" i="33" s="1"/>
  <c r="J90" i="33"/>
  <c r="U90" i="33"/>
  <c r="V90" i="33"/>
  <c r="T114" i="33"/>
  <c r="J130" i="33" s="1"/>
  <c r="T110" i="33"/>
  <c r="T106" i="33"/>
  <c r="T104" i="33"/>
  <c r="T111" i="33"/>
  <c r="T108" i="33"/>
  <c r="T116" i="33"/>
  <c r="L132" i="33" s="1"/>
  <c r="M96" i="33"/>
  <c r="V96" i="33"/>
  <c r="J96" i="33"/>
  <c r="N96" i="33"/>
  <c r="R96" i="33"/>
  <c r="T113" i="33"/>
  <c r="T109" i="33"/>
  <c r="Q96" i="33"/>
  <c r="K96" i="33"/>
  <c r="L96" i="33"/>
  <c r="S96" i="33"/>
  <c r="T107" i="33"/>
  <c r="T115" i="33"/>
  <c r="K131" i="33" s="1"/>
  <c r="T105" i="33"/>
  <c r="T112" i="33"/>
  <c r="U96" i="33"/>
  <c r="O96" i="33"/>
  <c r="P96" i="33"/>
  <c r="T96" i="33"/>
  <c r="J88" i="33"/>
  <c r="L110" i="33"/>
  <c r="N126" i="33" s="1"/>
  <c r="L105" i="33"/>
  <c r="L107" i="33"/>
  <c r="K123" i="33" s="1"/>
  <c r="S88" i="33"/>
  <c r="V88" i="33"/>
  <c r="P88" i="33"/>
  <c r="U88" i="33"/>
  <c r="L108" i="33"/>
  <c r="L124" i="33" s="1"/>
  <c r="L113" i="33"/>
  <c r="Q129" i="33" s="1"/>
  <c r="L116" i="33"/>
  <c r="T132" i="33" s="1"/>
  <c r="L106" i="33"/>
  <c r="J122" i="33" s="1"/>
  <c r="L104" i="33"/>
  <c r="L88" i="33"/>
  <c r="Q88" i="33"/>
  <c r="L111" i="33"/>
  <c r="O127" i="33" s="1"/>
  <c r="R88" i="33"/>
  <c r="M88" i="33"/>
  <c r="L109" i="33"/>
  <c r="M125" i="33" s="1"/>
  <c r="L112" i="33"/>
  <c r="P128" i="33" s="1"/>
  <c r="L115" i="33"/>
  <c r="S131" i="33" s="1"/>
  <c r="O88" i="33"/>
  <c r="T88" i="33"/>
  <c r="K88" i="33"/>
  <c r="L114" i="33"/>
  <c r="R130" i="33" s="1"/>
  <c r="N88" i="33"/>
  <c r="T48" i="31"/>
  <c r="P48" i="31" s="1"/>
  <c r="S47" i="31"/>
  <c r="P47" i="31" s="1"/>
  <c r="U107" i="33"/>
  <c r="U111" i="33"/>
  <c r="U105" i="33"/>
  <c r="V97" i="33"/>
  <c r="L97" i="33"/>
  <c r="M97" i="33"/>
  <c r="U115" i="33"/>
  <c r="J131" i="33" s="1"/>
  <c r="R97" i="33"/>
  <c r="U114" i="33"/>
  <c r="U113" i="33"/>
  <c r="U116" i="33"/>
  <c r="K132" i="33" s="1"/>
  <c r="U104" i="33"/>
  <c r="K97" i="33"/>
  <c r="P97" i="33"/>
  <c r="Q97" i="33"/>
  <c r="U106" i="33"/>
  <c r="S97" i="33"/>
  <c r="U110" i="33"/>
  <c r="U109" i="33"/>
  <c r="U112" i="33"/>
  <c r="N97" i="33"/>
  <c r="O97" i="33"/>
  <c r="T97" i="33"/>
  <c r="U97" i="33"/>
  <c r="U108" i="33"/>
  <c r="J97" i="33"/>
  <c r="V115" i="33"/>
  <c r="V108" i="33"/>
  <c r="V106" i="33"/>
  <c r="V112" i="33"/>
  <c r="J98" i="33"/>
  <c r="M98" i="33"/>
  <c r="R98" i="33"/>
  <c r="V104" i="33"/>
  <c r="S98" i="33"/>
  <c r="V111" i="33"/>
  <c r="V105" i="33"/>
  <c r="V113" i="33"/>
  <c r="K98" i="33"/>
  <c r="L98" i="33"/>
  <c r="Q98" i="33"/>
  <c r="V98" i="33"/>
  <c r="V110" i="33"/>
  <c r="N98" i="33"/>
  <c r="V107" i="33"/>
  <c r="V114" i="33"/>
  <c r="V109" i="33"/>
  <c r="O98" i="33"/>
  <c r="P98" i="33"/>
  <c r="U98" i="33"/>
  <c r="V116" i="33"/>
  <c r="J132" i="33" s="1"/>
  <c r="T98" i="33"/>
  <c r="U49" i="31"/>
  <c r="C39" i="25"/>
  <c r="P56" i="31" l="1"/>
  <c r="P55" i="31"/>
  <c r="AB12" i="32"/>
  <c r="W12" i="32"/>
  <c r="AH100" i="33"/>
  <c r="AH101" i="33" s="1"/>
  <c r="K25" i="36" s="1"/>
  <c r="AR100" i="33"/>
  <c r="AR101" i="33" s="1"/>
  <c r="U25" i="36" s="1"/>
  <c r="AB18" i="32"/>
  <c r="AI100" i="33"/>
  <c r="AI101" i="33" s="1"/>
  <c r="L25" i="36" s="1"/>
  <c r="AG100" i="33"/>
  <c r="AG101" i="33" s="1"/>
  <c r="J25" i="36" s="1"/>
  <c r="W27" i="36"/>
  <c r="W18" i="32"/>
  <c r="AO100" i="33"/>
  <c r="AO101" i="33" s="1"/>
  <c r="R25" i="36" s="1"/>
  <c r="AK100" i="33"/>
  <c r="AK101" i="33" s="1"/>
  <c r="N25" i="36" s="1"/>
  <c r="AM100" i="33"/>
  <c r="AM101" i="33" s="1"/>
  <c r="P25" i="36" s="1"/>
  <c r="AT114" i="33"/>
  <c r="AT107" i="33"/>
  <c r="AT110" i="33"/>
  <c r="AJ100" i="33"/>
  <c r="AJ101" i="33" s="1"/>
  <c r="M25" i="36" s="1"/>
  <c r="AT112" i="33"/>
  <c r="AT111" i="33"/>
  <c r="AT113" i="33"/>
  <c r="AQ100" i="33"/>
  <c r="AQ101" i="33" s="1"/>
  <c r="T25" i="36" s="1"/>
  <c r="AL100" i="33"/>
  <c r="AL101" i="33" s="1"/>
  <c r="O25" i="36" s="1"/>
  <c r="AT105" i="33"/>
  <c r="AT116" i="33"/>
  <c r="AT108" i="33"/>
  <c r="AT109" i="33"/>
  <c r="AN100" i="33"/>
  <c r="AN101" i="33" s="1"/>
  <c r="Q25" i="36" s="1"/>
  <c r="AS100" i="33"/>
  <c r="AS101" i="33" s="1"/>
  <c r="V25" i="36" s="1"/>
  <c r="AP100" i="33"/>
  <c r="AP101" i="33" s="1"/>
  <c r="S25" i="36" s="1"/>
  <c r="AT106" i="33"/>
  <c r="AT104" i="33"/>
  <c r="AT115" i="33"/>
  <c r="S59" i="31"/>
  <c r="S57" i="31"/>
  <c r="P57" i="31" s="1"/>
  <c r="T58" i="31"/>
  <c r="S51" i="31"/>
  <c r="T52" i="31"/>
  <c r="S52" i="31"/>
  <c r="U54" i="31"/>
  <c r="P54" i="31" s="1"/>
  <c r="T53" i="31"/>
  <c r="S58" i="31"/>
  <c r="U51" i="31"/>
  <c r="U59" i="31"/>
  <c r="U53" i="31"/>
  <c r="T59" i="31"/>
  <c r="S49" i="31"/>
  <c r="P49" i="31" s="1"/>
  <c r="T50" i="31"/>
  <c r="P50" i="31" s="1"/>
  <c r="W21" i="36"/>
  <c r="W111" i="33"/>
  <c r="W108" i="33"/>
  <c r="W104" i="33"/>
  <c r="W109" i="33"/>
  <c r="K100" i="33"/>
  <c r="K101" i="33" s="1"/>
  <c r="W115" i="33"/>
  <c r="W112" i="33"/>
  <c r="W106" i="33"/>
  <c r="J100" i="33"/>
  <c r="J101" i="33" s="1"/>
  <c r="P100" i="33"/>
  <c r="P101" i="33" s="1"/>
  <c r="U100" i="33"/>
  <c r="U101" i="33" s="1"/>
  <c r="W114" i="33"/>
  <c r="W107" i="33"/>
  <c r="T100" i="33"/>
  <c r="T101" i="33" s="1"/>
  <c r="Q100" i="33"/>
  <c r="Q101" i="33" s="1"/>
  <c r="O100" i="33"/>
  <c r="O101" i="33" s="1"/>
  <c r="V100" i="33"/>
  <c r="V101" i="33" s="1"/>
  <c r="W105" i="33"/>
  <c r="S100" i="33"/>
  <c r="S101" i="33" s="1"/>
  <c r="W113" i="33"/>
  <c r="N100" i="33"/>
  <c r="N101" i="33" s="1"/>
  <c r="M100" i="33"/>
  <c r="M101" i="33" s="1"/>
  <c r="L100" i="33"/>
  <c r="L101" i="33" s="1"/>
  <c r="W110" i="33"/>
  <c r="R100" i="33"/>
  <c r="R101" i="33" s="1"/>
  <c r="W116" i="33"/>
  <c r="C41" i="25"/>
  <c r="C40" i="25"/>
  <c r="J32" i="25" s="1"/>
  <c r="M34" i="25"/>
  <c r="J34" i="25"/>
  <c r="J35" i="25"/>
  <c r="J31" i="25" l="1"/>
  <c r="P58" i="31"/>
  <c r="P51" i="31"/>
  <c r="P53" i="31"/>
  <c r="P59" i="31"/>
  <c r="P52" i="31"/>
  <c r="T16" i="32"/>
  <c r="N16" i="32"/>
  <c r="K16" i="32"/>
  <c r="M16" i="32"/>
  <c r="R16" i="32"/>
  <c r="V16" i="32"/>
  <c r="J16" i="32"/>
  <c r="O16" i="32"/>
  <c r="P16" i="32"/>
  <c r="L16" i="32"/>
  <c r="S16" i="32"/>
  <c r="Q16" i="32"/>
  <c r="U16" i="32"/>
  <c r="M41" i="25"/>
  <c r="N41" i="25" s="1"/>
  <c r="M40" i="25"/>
  <c r="J40" i="25"/>
  <c r="M39" i="25"/>
  <c r="J37" i="25"/>
  <c r="M38" i="25"/>
  <c r="M37" i="25"/>
  <c r="J38" i="25"/>
  <c r="M42" i="25"/>
  <c r="N42" i="25" s="1"/>
  <c r="J42" i="25"/>
  <c r="J41" i="25"/>
  <c r="M35" i="25"/>
  <c r="M36" i="25"/>
  <c r="M31" i="25"/>
  <c r="M32" i="25"/>
  <c r="M33" i="25"/>
  <c r="M27" i="25"/>
  <c r="M28" i="25"/>
  <c r="J30" i="25"/>
  <c r="J39" i="25"/>
  <c r="J36" i="25"/>
  <c r="J23" i="25"/>
  <c r="J24" i="25"/>
  <c r="M25" i="25"/>
  <c r="M23" i="25"/>
  <c r="J25" i="25"/>
  <c r="M24" i="25"/>
  <c r="J26" i="25"/>
  <c r="J28" i="25"/>
  <c r="M26" i="25"/>
  <c r="J33" i="25"/>
  <c r="J27" i="25"/>
  <c r="J29" i="25"/>
  <c r="AB16" i="32" l="1"/>
  <c r="W16" i="32"/>
  <c r="W25" i="36"/>
  <c r="N40" i="25" l="1"/>
  <c r="N39" i="25"/>
  <c r="J18" i="31" l="1"/>
  <c r="AB18" i="31" s="1"/>
  <c r="W18" i="31" l="1"/>
  <c r="W38" i="36" l="1"/>
  <c r="W29" i="32"/>
  <c r="V115" i="30"/>
  <c r="Q115" i="30"/>
  <c r="M115" i="30"/>
  <c r="O115" i="30"/>
  <c r="T115" i="30"/>
  <c r="S115" i="30"/>
  <c r="N115" i="30"/>
  <c r="K115" i="30"/>
  <c r="R115" i="30"/>
  <c r="P115" i="30"/>
  <c r="L115" i="30"/>
  <c r="M114" i="30"/>
  <c r="R114" i="30"/>
  <c r="T114" i="30"/>
  <c r="U114" i="30"/>
  <c r="N114" i="30"/>
  <c r="Q114" i="30"/>
  <c r="L114" i="30"/>
  <c r="S114" i="30"/>
  <c r="J115" i="30"/>
  <c r="K114" i="30"/>
  <c r="O114" i="30"/>
  <c r="V114" i="30"/>
  <c r="P114" i="30"/>
  <c r="J114" i="30"/>
  <c r="U115" i="30"/>
  <c r="E15" i="30"/>
  <c r="K15" i="30" s="1"/>
  <c r="K80" i="30" s="1"/>
  <c r="E16" i="30"/>
  <c r="L16" i="30" s="1"/>
  <c r="L83" i="30" s="1"/>
  <c r="L85" i="30" s="1"/>
  <c r="O16" i="28"/>
  <c r="E26" i="30" l="1"/>
  <c r="E27" i="30"/>
  <c r="T15" i="30"/>
  <c r="R15" i="30"/>
  <c r="R80" i="30" s="1"/>
  <c r="R82" i="30" s="1"/>
  <c r="Q16" i="30"/>
  <c r="N15" i="30"/>
  <c r="N80" i="30" s="1"/>
  <c r="N82" i="30" s="1"/>
  <c r="M15" i="30"/>
  <c r="M80" i="30" s="1"/>
  <c r="O16" i="30"/>
  <c r="V15" i="30"/>
  <c r="V80" i="30" s="1"/>
  <c r="V82" i="30" s="1"/>
  <c r="Q15" i="30"/>
  <c r="Q80" i="30" s="1"/>
  <c r="L15" i="30"/>
  <c r="U16" i="30"/>
  <c r="M16" i="30"/>
  <c r="U15" i="30"/>
  <c r="U80" i="30" s="1"/>
  <c r="P15" i="30"/>
  <c r="J15" i="30"/>
  <c r="J80" i="30" s="1"/>
  <c r="S16" i="30"/>
  <c r="K16" i="30"/>
  <c r="K83" i="30" s="1"/>
  <c r="L16" i="31"/>
  <c r="K82" i="30"/>
  <c r="V16" i="30"/>
  <c r="R16" i="30"/>
  <c r="N16" i="30"/>
  <c r="J16" i="30"/>
  <c r="J83" i="30" s="1"/>
  <c r="T16" i="30"/>
  <c r="P16" i="30"/>
  <c r="P83" i="30" s="1"/>
  <c r="S15" i="30"/>
  <c r="S80" i="30" s="1"/>
  <c r="O15" i="30"/>
  <c r="O80" i="30" s="1"/>
  <c r="N83" i="30" l="1"/>
  <c r="N85" i="30" s="1"/>
  <c r="K64" i="30"/>
  <c r="P80" i="30"/>
  <c r="P82" i="30" s="1"/>
  <c r="P9" i="31" s="1"/>
  <c r="P12" i="31" s="1"/>
  <c r="P14" i="31" s="1"/>
  <c r="P15" i="31" s="1"/>
  <c r="L80" i="30"/>
  <c r="L82" i="30" s="1"/>
  <c r="L9" i="31" s="1"/>
  <c r="L12" i="31" s="1"/>
  <c r="L14" i="31" s="1"/>
  <c r="L15" i="31" s="1"/>
  <c r="T80" i="30"/>
  <c r="T82" i="30" s="1"/>
  <c r="T9" i="31" s="1"/>
  <c r="T12" i="31" s="1"/>
  <c r="T14" i="31" s="1"/>
  <c r="T15" i="31" s="1"/>
  <c r="R83" i="30"/>
  <c r="R85" i="30" s="1"/>
  <c r="T32" i="30"/>
  <c r="T83" i="30"/>
  <c r="T85" i="30" s="1"/>
  <c r="V83" i="30"/>
  <c r="V85" i="30" s="1"/>
  <c r="S83" i="30"/>
  <c r="S85" i="30" s="1"/>
  <c r="S16" i="31" s="1"/>
  <c r="M83" i="30"/>
  <c r="M85" i="30" s="1"/>
  <c r="M16" i="31" s="1"/>
  <c r="Q83" i="30"/>
  <c r="Q85" i="30" s="1"/>
  <c r="Q16" i="31" s="1"/>
  <c r="U83" i="30"/>
  <c r="U85" i="30" s="1"/>
  <c r="U16" i="31" s="1"/>
  <c r="O83" i="30"/>
  <c r="O85" i="30" s="1"/>
  <c r="O16" i="31" s="1"/>
  <c r="L32" i="30"/>
  <c r="L64" i="30"/>
  <c r="W15" i="30"/>
  <c r="H29" i="25" s="1"/>
  <c r="M29" i="25" s="1"/>
  <c r="J32" i="30"/>
  <c r="R64" i="30"/>
  <c r="M64" i="30"/>
  <c r="M82" i="30"/>
  <c r="M32" i="30"/>
  <c r="K85" i="30"/>
  <c r="K16" i="31" s="1"/>
  <c r="K32" i="30"/>
  <c r="U82" i="30"/>
  <c r="U64" i="30"/>
  <c r="U32" i="30"/>
  <c r="Q64" i="30"/>
  <c r="Q32" i="30"/>
  <c r="Q82" i="30"/>
  <c r="P64" i="30"/>
  <c r="P85" i="30"/>
  <c r="P16" i="31" s="1"/>
  <c r="N32" i="30"/>
  <c r="P32" i="30"/>
  <c r="V64" i="30"/>
  <c r="S64" i="30"/>
  <c r="S82" i="30"/>
  <c r="S32" i="30"/>
  <c r="V9" i="31"/>
  <c r="V12" i="31" s="1"/>
  <c r="V14" i="31" s="1"/>
  <c r="T64" i="30"/>
  <c r="N9" i="31"/>
  <c r="N12" i="31" s="1"/>
  <c r="N14" i="31" s="1"/>
  <c r="J82" i="30"/>
  <c r="R32" i="30"/>
  <c r="O64" i="30"/>
  <c r="O82" i="30"/>
  <c r="O32" i="30"/>
  <c r="W16" i="30"/>
  <c r="H30" i="25" s="1"/>
  <c r="K9" i="31"/>
  <c r="K12" i="31" s="1"/>
  <c r="K14" i="31" s="1"/>
  <c r="N64" i="30"/>
  <c r="J64" i="30"/>
  <c r="V32" i="30"/>
  <c r="R9" i="31"/>
  <c r="R12" i="31" s="1"/>
  <c r="R14" i="31" s="1"/>
  <c r="R16" i="31" l="1"/>
  <c r="R20" i="31" s="1"/>
  <c r="R93" i="30"/>
  <c r="R22" i="31" s="1"/>
  <c r="L20" i="31"/>
  <c r="V16" i="31"/>
  <c r="V20" i="31" s="1"/>
  <c r="V93" i="30"/>
  <c r="V20" i="32" s="1"/>
  <c r="N16" i="31"/>
  <c r="N20" i="31" s="1"/>
  <c r="N93" i="30"/>
  <c r="N29" i="36" s="1"/>
  <c r="L93" i="30"/>
  <c r="L29" i="36" s="1"/>
  <c r="K93" i="30"/>
  <c r="K22" i="31" s="1"/>
  <c r="Q9" i="31"/>
  <c r="Q12" i="31" s="1"/>
  <c r="Q14" i="31" s="1"/>
  <c r="Q93" i="30"/>
  <c r="U9" i="31"/>
  <c r="U12" i="31" s="1"/>
  <c r="U14" i="31" s="1"/>
  <c r="U93" i="30"/>
  <c r="M93" i="30"/>
  <c r="M9" i="31"/>
  <c r="M12" i="31" s="1"/>
  <c r="M14" i="31" s="1"/>
  <c r="W64" i="30"/>
  <c r="N15" i="31"/>
  <c r="R29" i="36"/>
  <c r="T16" i="31"/>
  <c r="T93" i="30"/>
  <c r="P20" i="31"/>
  <c r="P93" i="30"/>
  <c r="W82" i="30"/>
  <c r="J9" i="31"/>
  <c r="J12" i="31" s="1"/>
  <c r="R15" i="31"/>
  <c r="K15" i="31"/>
  <c r="K20" i="31"/>
  <c r="W80" i="30"/>
  <c r="S93" i="30"/>
  <c r="S9" i="31"/>
  <c r="S12" i="31" s="1"/>
  <c r="M30" i="25"/>
  <c r="V15" i="31"/>
  <c r="J85" i="30"/>
  <c r="W83" i="30"/>
  <c r="O93" i="30"/>
  <c r="O9" i="31"/>
  <c r="O12" i="31" s="1"/>
  <c r="O14" i="31" s="1"/>
  <c r="W32" i="30"/>
  <c r="R23" i="25" s="1"/>
  <c r="N20" i="32" l="1"/>
  <c r="V22" i="31"/>
  <c r="V24" i="31" s="1"/>
  <c r="V25" i="31" s="1"/>
  <c r="R20" i="32"/>
  <c r="V29" i="36"/>
  <c r="L21" i="31"/>
  <c r="L28" i="31"/>
  <c r="N22" i="31"/>
  <c r="N24" i="31" s="1"/>
  <c r="N25" i="31" s="1"/>
  <c r="L22" i="31"/>
  <c r="L24" i="31" s="1"/>
  <c r="L25" i="31" s="1"/>
  <c r="L20" i="32"/>
  <c r="K29" i="36"/>
  <c r="K20" i="32"/>
  <c r="U29" i="36"/>
  <c r="U22" i="31"/>
  <c r="U20" i="32"/>
  <c r="U15" i="31"/>
  <c r="U20" i="31"/>
  <c r="M20" i="31"/>
  <c r="M15" i="31"/>
  <c r="Q29" i="36"/>
  <c r="Q20" i="32"/>
  <c r="Q22" i="31"/>
  <c r="M20" i="32"/>
  <c r="M22" i="31"/>
  <c r="M29" i="36"/>
  <c r="Q20" i="31"/>
  <c r="Q15" i="31"/>
  <c r="S22" i="31"/>
  <c r="S29" i="36"/>
  <c r="S20" i="32"/>
  <c r="R21" i="31"/>
  <c r="R24" i="31"/>
  <c r="R25" i="31" s="1"/>
  <c r="R28" i="31"/>
  <c r="T29" i="36"/>
  <c r="T22" i="31"/>
  <c r="T20" i="32"/>
  <c r="P28" i="31"/>
  <c r="P21" i="31"/>
  <c r="O15" i="31"/>
  <c r="O20" i="31"/>
  <c r="W85" i="30"/>
  <c r="J16" i="31"/>
  <c r="W16" i="31" s="1"/>
  <c r="K24" i="31"/>
  <c r="K25" i="31" s="1"/>
  <c r="K21" i="31"/>
  <c r="K28" i="31"/>
  <c r="J93" i="30"/>
  <c r="T20" i="31"/>
  <c r="O29" i="36"/>
  <c r="O22" i="31"/>
  <c r="O20" i="32"/>
  <c r="V21" i="31"/>
  <c r="V28" i="31"/>
  <c r="M43" i="25"/>
  <c r="N30" i="25" s="1"/>
  <c r="AB12" i="31"/>
  <c r="S14" i="31"/>
  <c r="J14" i="31"/>
  <c r="W12" i="31"/>
  <c r="P29" i="36"/>
  <c r="P22" i="31"/>
  <c r="P24" i="31" s="1"/>
  <c r="P25" i="31" s="1"/>
  <c r="P20" i="32"/>
  <c r="N21" i="31"/>
  <c r="N28" i="31"/>
  <c r="L29" i="31" l="1"/>
  <c r="L32" i="31"/>
  <c r="AB16" i="31"/>
  <c r="M24" i="31"/>
  <c r="M25" i="31" s="1"/>
  <c r="Q24" i="31"/>
  <c r="Q25" i="31" s="1"/>
  <c r="Q28" i="31"/>
  <c r="Q21" i="31"/>
  <c r="M21" i="31"/>
  <c r="M28" i="31"/>
  <c r="U28" i="31"/>
  <c r="U21" i="31"/>
  <c r="U24" i="31"/>
  <c r="U25" i="31" s="1"/>
  <c r="R32" i="31"/>
  <c r="R29" i="31"/>
  <c r="K32" i="31"/>
  <c r="K29" i="31"/>
  <c r="O21" i="31"/>
  <c r="O24" i="31"/>
  <c r="O25" i="31" s="1"/>
  <c r="O28" i="31"/>
  <c r="P29" i="31"/>
  <c r="P32" i="31"/>
  <c r="N32" i="31"/>
  <c r="N29" i="31"/>
  <c r="J15" i="31"/>
  <c r="W14" i="31"/>
  <c r="W15" i="31" s="1"/>
  <c r="J20" i="31"/>
  <c r="V32" i="31"/>
  <c r="V29" i="31"/>
  <c r="J29" i="36"/>
  <c r="W93" i="30"/>
  <c r="J22" i="31"/>
  <c r="W22" i="31" s="1"/>
  <c r="J20" i="32"/>
  <c r="W20" i="32" s="1"/>
  <c r="N24" i="25"/>
  <c r="N27" i="25"/>
  <c r="N33" i="25"/>
  <c r="N38" i="25"/>
  <c r="N25" i="25"/>
  <c r="N31" i="25"/>
  <c r="N36" i="25"/>
  <c r="N34" i="25"/>
  <c r="N26" i="25"/>
  <c r="N35" i="25"/>
  <c r="N23" i="25"/>
  <c r="N28" i="25"/>
  <c r="N37" i="25"/>
  <c r="N32" i="25"/>
  <c r="N29" i="25"/>
  <c r="S15" i="31"/>
  <c r="S20" i="31"/>
  <c r="AB14" i="31"/>
  <c r="AB15" i="31" s="1"/>
  <c r="T28" i="31"/>
  <c r="T21" i="31"/>
  <c r="T24" i="31"/>
  <c r="T25" i="31" s="1"/>
  <c r="W29" i="36" l="1"/>
  <c r="AB20" i="32"/>
  <c r="L36" i="31"/>
  <c r="AB22" i="31"/>
  <c r="U32" i="31"/>
  <c r="U36" i="31" s="1"/>
  <c r="U29" i="31"/>
  <c r="Q29" i="31"/>
  <c r="Q32" i="31"/>
  <c r="Q36" i="31" s="1"/>
  <c r="M32" i="31"/>
  <c r="M29" i="31"/>
  <c r="N43" i="25"/>
  <c r="N36" i="31"/>
  <c r="J21" i="31"/>
  <c r="W20" i="31"/>
  <c r="W21" i="31" s="1"/>
  <c r="J24" i="31"/>
  <c r="J28" i="31"/>
  <c r="P36" i="31"/>
  <c r="S21" i="31"/>
  <c r="AB20" i="31"/>
  <c r="AB21" i="31" s="1"/>
  <c r="S24" i="31"/>
  <c r="S28" i="31"/>
  <c r="R36" i="31"/>
  <c r="T32" i="31"/>
  <c r="T29" i="31"/>
  <c r="V36" i="31"/>
  <c r="O32" i="31"/>
  <c r="O29" i="31"/>
  <c r="K36" i="31"/>
  <c r="M36" i="31" l="1"/>
  <c r="AB28" i="31"/>
  <c r="AB29" i="31" s="1"/>
  <c r="S32" i="31"/>
  <c r="S29" i="31"/>
  <c r="J32" i="31"/>
  <c r="J29" i="31"/>
  <c r="W28" i="31"/>
  <c r="W29" i="31" s="1"/>
  <c r="O36" i="31"/>
  <c r="S25" i="31"/>
  <c r="AB24" i="31"/>
  <c r="AB25" i="31" s="1"/>
  <c r="W24" i="31"/>
  <c r="W25" i="31" s="1"/>
  <c r="J25" i="31"/>
  <c r="T36" i="31"/>
  <c r="J35" i="31" l="1"/>
  <c r="J38" i="31" s="1"/>
  <c r="W32" i="31"/>
  <c r="J36" i="31"/>
  <c r="S36" i="31"/>
  <c r="AB32" i="31"/>
  <c r="AB33" i="31" s="1"/>
  <c r="J40" i="31" l="1"/>
  <c r="J37" i="31"/>
  <c r="K34" i="31" s="1"/>
  <c r="K35" i="31" l="1"/>
  <c r="J42" i="31"/>
  <c r="K37" i="31" l="1"/>
  <c r="L34" i="31" s="1"/>
  <c r="L35" i="31" s="1"/>
  <c r="K38" i="31"/>
  <c r="K40" i="31" s="1"/>
  <c r="K42" i="31" s="1"/>
  <c r="J8" i="32"/>
  <c r="J43" i="31"/>
  <c r="L37" i="31" l="1"/>
  <c r="M34" i="31" s="1"/>
  <c r="M35" i="31" s="1"/>
  <c r="L38" i="31"/>
  <c r="L40" i="31" s="1"/>
  <c r="L42" i="31" s="1"/>
  <c r="K43" i="31"/>
  <c r="K8" i="32"/>
  <c r="K22" i="32" s="1"/>
  <c r="K39" i="32" s="1"/>
  <c r="K54" i="36" s="1"/>
  <c r="J22" i="32"/>
  <c r="M37" i="31" l="1"/>
  <c r="N34" i="31" s="1"/>
  <c r="N35" i="31" s="1"/>
  <c r="N38" i="31" s="1"/>
  <c r="M38" i="31"/>
  <c r="M40" i="31" s="1"/>
  <c r="M42" i="31" s="1"/>
  <c r="K48" i="32"/>
  <c r="K41" i="35"/>
  <c r="I11" i="25"/>
  <c r="L8" i="32"/>
  <c r="L22" i="32" s="1"/>
  <c r="L39" i="32" s="1"/>
  <c r="L54" i="36" s="1"/>
  <c r="L43" i="31"/>
  <c r="J39" i="32"/>
  <c r="J48" i="32" l="1"/>
  <c r="J50" i="32" s="1"/>
  <c r="K46" i="32" s="1"/>
  <c r="K50" i="32" s="1"/>
  <c r="L46" i="32" s="1"/>
  <c r="J54" i="36"/>
  <c r="L48" i="32"/>
  <c r="L41" i="35"/>
  <c r="J11" i="25"/>
  <c r="M43" i="31"/>
  <c r="M8" i="32"/>
  <c r="M22" i="32" s="1"/>
  <c r="M39" i="32" s="1"/>
  <c r="M54" i="36" s="1"/>
  <c r="H11" i="25"/>
  <c r="J41" i="35"/>
  <c r="J43" i="35" s="1"/>
  <c r="N40" i="31"/>
  <c r="N37" i="31"/>
  <c r="O34" i="31" s="1"/>
  <c r="L50" i="32" l="1"/>
  <c r="M46" i="32" s="1"/>
  <c r="M48" i="32"/>
  <c r="M41" i="35"/>
  <c r="K11" i="25"/>
  <c r="O35" i="31"/>
  <c r="O38" i="31" s="1"/>
  <c r="H17" i="25"/>
  <c r="K39" i="35"/>
  <c r="K43" i="35" s="1"/>
  <c r="N42" i="31"/>
  <c r="M50" i="32" l="1"/>
  <c r="N46" i="32" s="1"/>
  <c r="L39" i="35"/>
  <c r="L43" i="35" s="1"/>
  <c r="I17" i="25"/>
  <c r="O40" i="31"/>
  <c r="N8" i="32"/>
  <c r="N43" i="31"/>
  <c r="O37" i="31"/>
  <c r="P34" i="31" s="1"/>
  <c r="P35" i="31" l="1"/>
  <c r="O42" i="31"/>
  <c r="N22" i="32"/>
  <c r="J17" i="25"/>
  <c r="M39" i="35"/>
  <c r="M43" i="35" s="1"/>
  <c r="P37" i="31" l="1"/>
  <c r="Q34" i="31" s="1"/>
  <c r="Q35" i="31" s="1"/>
  <c r="Q38" i="31" s="1"/>
  <c r="P38" i="31"/>
  <c r="P40" i="31" s="1"/>
  <c r="P42" i="31" s="1"/>
  <c r="O43" i="31"/>
  <c r="O8" i="32"/>
  <c r="N39" i="32"/>
  <c r="N39" i="35"/>
  <c r="K17" i="25"/>
  <c r="N48" i="32" l="1"/>
  <c r="N50" i="32" s="1"/>
  <c r="O46" i="32" s="1"/>
  <c r="N54" i="36"/>
  <c r="P8" i="32"/>
  <c r="P22" i="32" s="1"/>
  <c r="P39" i="32" s="1"/>
  <c r="P54" i="36" s="1"/>
  <c r="P43" i="31"/>
  <c r="O22" i="32"/>
  <c r="L11" i="25"/>
  <c r="N41" i="35"/>
  <c r="N43" i="35" s="1"/>
  <c r="Q40" i="31"/>
  <c r="Q37" i="31"/>
  <c r="R34" i="31" s="1"/>
  <c r="P48" i="32" l="1"/>
  <c r="N11" i="25"/>
  <c r="P41" i="35"/>
  <c r="O39" i="35"/>
  <c r="L17" i="25"/>
  <c r="R35" i="31"/>
  <c r="R38" i="31" s="1"/>
  <c r="Q42" i="31"/>
  <c r="O39" i="32"/>
  <c r="O48" i="32" l="1"/>
  <c r="O50" i="32" s="1"/>
  <c r="P46" i="32" s="1"/>
  <c r="P50" i="32" s="1"/>
  <c r="Q46" i="32" s="1"/>
  <c r="O54" i="36"/>
  <c r="R40" i="31"/>
  <c r="R37" i="31"/>
  <c r="S34" i="31" s="1"/>
  <c r="O41" i="35"/>
  <c r="O43" i="35" s="1"/>
  <c r="M11" i="25"/>
  <c r="Q43" i="31"/>
  <c r="Q8" i="32"/>
  <c r="P39" i="35" l="1"/>
  <c r="P43" i="35" s="1"/>
  <c r="M17" i="25"/>
  <c r="S35" i="31"/>
  <c r="S38" i="31" s="1"/>
  <c r="S40" i="31" s="1"/>
  <c r="Q22" i="32"/>
  <c r="R42" i="31"/>
  <c r="R8" i="32" l="1"/>
  <c r="R43" i="31"/>
  <c r="S37" i="31"/>
  <c r="T34" i="31" s="1"/>
  <c r="S42" i="31"/>
  <c r="Q39" i="32"/>
  <c r="N17" i="25"/>
  <c r="Q39" i="35"/>
  <c r="Q48" i="32" l="1"/>
  <c r="Q50" i="32" s="1"/>
  <c r="R46" i="32" s="1"/>
  <c r="Q54" i="36"/>
  <c r="Q41" i="35"/>
  <c r="Q43" i="35" s="1"/>
  <c r="O11" i="25"/>
  <c r="T35" i="31"/>
  <c r="T38" i="31" s="1"/>
  <c r="T40" i="31" s="1"/>
  <c r="S8" i="32"/>
  <c r="S22" i="32" s="1"/>
  <c r="S39" i="32" s="1"/>
  <c r="S43" i="31"/>
  <c r="R22" i="32"/>
  <c r="S48" i="32" l="1"/>
  <c r="S54" i="36"/>
  <c r="O17" i="25"/>
  <c r="R39" i="35"/>
  <c r="T42" i="31"/>
  <c r="T37" i="31"/>
  <c r="U34" i="31" s="1"/>
  <c r="R39" i="32"/>
  <c r="S41" i="35"/>
  <c r="Q11" i="25"/>
  <c r="R48" i="32" l="1"/>
  <c r="R50" i="32" s="1"/>
  <c r="S46" i="32" s="1"/>
  <c r="S50" i="32" s="1"/>
  <c r="T46" i="32" s="1"/>
  <c r="R54" i="36"/>
  <c r="T8" i="32"/>
  <c r="T43" i="31"/>
  <c r="P11" i="25"/>
  <c r="R41" i="35"/>
  <c r="R43" i="35" s="1"/>
  <c r="U35" i="31"/>
  <c r="U38" i="31" s="1"/>
  <c r="U40" i="31" s="1"/>
  <c r="U42" i="31" l="1"/>
  <c r="U37" i="31"/>
  <c r="V34" i="31" s="1"/>
  <c r="S39" i="35"/>
  <c r="S43" i="35" s="1"/>
  <c r="P17" i="25"/>
  <c r="T22" i="32"/>
  <c r="T39" i="35" l="1"/>
  <c r="Q17" i="25"/>
  <c r="V35" i="31"/>
  <c r="V38" i="31" s="1"/>
  <c r="T39" i="32"/>
  <c r="U43" i="31"/>
  <c r="U8" i="32"/>
  <c r="U22" i="32" s="1"/>
  <c r="U39" i="32" s="1"/>
  <c r="T48" i="32" l="1"/>
  <c r="T50" i="32" s="1"/>
  <c r="U46" i="32" s="1"/>
  <c r="T54" i="36"/>
  <c r="U48" i="32"/>
  <c r="U54" i="36"/>
  <c r="V40" i="31"/>
  <c r="W38" i="31"/>
  <c r="V37" i="31"/>
  <c r="S11" i="25"/>
  <c r="U41" i="35"/>
  <c r="R11" i="25"/>
  <c r="T41" i="35"/>
  <c r="T43" i="35" s="1"/>
  <c r="U50" i="32" l="1"/>
  <c r="V46" i="32" s="1"/>
  <c r="U39" i="35"/>
  <c r="U43" i="35" s="1"/>
  <c r="R17" i="25"/>
  <c r="V42" i="31"/>
  <c r="W40" i="31"/>
  <c r="AB40" i="31"/>
  <c r="V8" i="32" l="1"/>
  <c r="V43" i="31"/>
  <c r="W42" i="31"/>
  <c r="W43" i="31" s="1"/>
  <c r="AB42" i="31"/>
  <c r="AB43" i="31" s="1"/>
  <c r="S17" i="25"/>
  <c r="V39" i="35"/>
  <c r="V22" i="32" l="1"/>
  <c r="W8" i="32"/>
  <c r="AB8" i="32"/>
  <c r="V39" i="32" l="1"/>
  <c r="W22" i="32"/>
  <c r="AB22" i="32"/>
  <c r="V48" i="32" l="1"/>
  <c r="V50" i="32" s="1"/>
  <c r="V54" i="36"/>
  <c r="V41" i="35"/>
  <c r="V43" i="35" s="1"/>
  <c r="T17" i="25" s="1"/>
  <c r="T11" i="25"/>
  <c r="W39" i="32"/>
  <c r="F31" i="23" s="1"/>
  <c r="W41" i="32"/>
  <c r="F33" i="23" s="1"/>
  <c r="AB39" i="32"/>
  <c r="E40" i="30"/>
  <c r="J40" i="30" s="1"/>
  <c r="E41" i="30"/>
  <c r="K41" i="30" s="1"/>
  <c r="E42" i="30"/>
  <c r="L42" i="30" s="1"/>
  <c r="E43" i="30"/>
  <c r="K43" i="30" s="1"/>
  <c r="O29" i="28"/>
  <c r="O31" i="28" s="1"/>
  <c r="E52" i="30" l="1"/>
  <c r="L52" i="30" s="1"/>
  <c r="E51" i="30"/>
  <c r="K51" i="30" s="1"/>
  <c r="J43" i="30"/>
  <c r="E54" i="30"/>
  <c r="T54" i="30" s="1"/>
  <c r="R43" i="30"/>
  <c r="Q43" i="30"/>
  <c r="Q41" i="30"/>
  <c r="V43" i="30"/>
  <c r="N43" i="30"/>
  <c r="S42" i="30"/>
  <c r="U43" i="30"/>
  <c r="M43" i="30"/>
  <c r="N42" i="30"/>
  <c r="E53" i="30"/>
  <c r="N53" i="30" s="1"/>
  <c r="K52" i="30"/>
  <c r="U51" i="30"/>
  <c r="T43" i="30"/>
  <c r="P43" i="30"/>
  <c r="L43" i="30"/>
  <c r="V42" i="30"/>
  <c r="Q42" i="30"/>
  <c r="K42" i="30"/>
  <c r="U41" i="30"/>
  <c r="M41" i="30"/>
  <c r="Q40" i="30"/>
  <c r="V52" i="30"/>
  <c r="R52" i="30"/>
  <c r="S43" i="30"/>
  <c r="O43" i="30"/>
  <c r="U42" i="30"/>
  <c r="O42" i="30"/>
  <c r="J42" i="30"/>
  <c r="R41" i="30"/>
  <c r="J41" i="30"/>
  <c r="M40" i="30"/>
  <c r="T52" i="30"/>
  <c r="P52" i="30"/>
  <c r="R42" i="30"/>
  <c r="M42" i="30"/>
  <c r="V41" i="30"/>
  <c r="N41" i="30"/>
  <c r="U40" i="30"/>
  <c r="R51" i="30"/>
  <c r="T40" i="30"/>
  <c r="P40" i="30"/>
  <c r="L40" i="30"/>
  <c r="T41" i="30"/>
  <c r="P41" i="30"/>
  <c r="L41" i="30"/>
  <c r="S40" i="30"/>
  <c r="O40" i="30"/>
  <c r="K40" i="30"/>
  <c r="T42" i="30"/>
  <c r="P42" i="30"/>
  <c r="S41" i="30"/>
  <c r="O41" i="30"/>
  <c r="V40" i="30"/>
  <c r="R40" i="30"/>
  <c r="N40" i="30"/>
  <c r="Q51" i="30" l="1"/>
  <c r="O51" i="30"/>
  <c r="J52" i="30"/>
  <c r="O52" i="30"/>
  <c r="S51" i="30"/>
  <c r="M51" i="30"/>
  <c r="U52" i="30"/>
  <c r="N51" i="30"/>
  <c r="L51" i="30"/>
  <c r="V51" i="30"/>
  <c r="J51" i="30"/>
  <c r="N52" i="30"/>
  <c r="P51" i="30"/>
  <c r="S52" i="30"/>
  <c r="Q52" i="30"/>
  <c r="M52" i="30"/>
  <c r="K58" i="30"/>
  <c r="R53" i="30"/>
  <c r="T51" i="30"/>
  <c r="N54" i="30"/>
  <c r="N123" i="30" s="1"/>
  <c r="N127" i="30" s="1"/>
  <c r="N57" i="36" s="1"/>
  <c r="N71" i="36" s="1"/>
  <c r="P54" i="30"/>
  <c r="V54" i="30"/>
  <c r="O54" i="30"/>
  <c r="S54" i="30"/>
  <c r="L54" i="30"/>
  <c r="U54" i="30"/>
  <c r="V58" i="30"/>
  <c r="V60" i="30" s="1"/>
  <c r="V62" i="30" s="1"/>
  <c r="V109" i="30" s="1"/>
  <c r="V119" i="30" s="1"/>
  <c r="V6" i="36" s="1"/>
  <c r="V8" i="36" s="1"/>
  <c r="J54" i="30"/>
  <c r="R54" i="30"/>
  <c r="M54" i="30"/>
  <c r="R58" i="30"/>
  <c r="R60" i="30" s="1"/>
  <c r="R62" i="30" s="1"/>
  <c r="R66" i="30" s="1"/>
  <c r="N58" i="30"/>
  <c r="N60" i="30" s="1"/>
  <c r="N62" i="30" s="1"/>
  <c r="N109" i="30" s="1"/>
  <c r="N119" i="30" s="1"/>
  <c r="N6" i="36" s="1"/>
  <c r="N8" i="36" s="1"/>
  <c r="V53" i="30"/>
  <c r="J58" i="30"/>
  <c r="J60" i="30" s="1"/>
  <c r="J62" i="30" s="1"/>
  <c r="J66" i="30" s="1"/>
  <c r="Q58" i="30"/>
  <c r="Q60" i="30" s="1"/>
  <c r="Q62" i="30" s="1"/>
  <c r="K54" i="30"/>
  <c r="Q54" i="30"/>
  <c r="U58" i="30"/>
  <c r="U60" i="30" s="1"/>
  <c r="U62" i="30" s="1"/>
  <c r="U109" i="30" s="1"/>
  <c r="U119" i="30" s="1"/>
  <c r="U6" i="36" s="1"/>
  <c r="U8" i="36" s="1"/>
  <c r="W43" i="30"/>
  <c r="H42" i="25" s="1"/>
  <c r="I42" i="25" s="1"/>
  <c r="W42" i="30"/>
  <c r="H41" i="25" s="1"/>
  <c r="I41" i="25" s="1"/>
  <c r="S58" i="30"/>
  <c r="S60" i="30" s="1"/>
  <c r="S62" i="30" s="1"/>
  <c r="S109" i="30" s="1"/>
  <c r="S119" i="30" s="1"/>
  <c r="S6" i="36" s="1"/>
  <c r="S8" i="36" s="1"/>
  <c r="W41" i="30"/>
  <c r="H40" i="25" s="1"/>
  <c r="I40" i="25" s="1"/>
  <c r="M58" i="30"/>
  <c r="M60" i="30" s="1"/>
  <c r="M62" i="30" s="1"/>
  <c r="J53" i="30"/>
  <c r="J123" i="30" s="1"/>
  <c r="J127" i="30" s="1"/>
  <c r="J57" i="36" s="1"/>
  <c r="K53" i="30"/>
  <c r="P53" i="30"/>
  <c r="U53" i="30"/>
  <c r="U123" i="30" s="1"/>
  <c r="U127" i="30" s="1"/>
  <c r="U57" i="36" s="1"/>
  <c r="U72" i="36" s="1"/>
  <c r="L53" i="30"/>
  <c r="L123" i="30" s="1"/>
  <c r="L127" i="30" s="1"/>
  <c r="L57" i="36" s="1"/>
  <c r="Q53" i="30"/>
  <c r="M53" i="30"/>
  <c r="S53" i="30"/>
  <c r="O53" i="30"/>
  <c r="O123" i="30" s="1"/>
  <c r="O127" i="30" s="1"/>
  <c r="O57" i="36" s="1"/>
  <c r="T53" i="30"/>
  <c r="K60" i="30"/>
  <c r="T58" i="30"/>
  <c r="T60" i="30" s="1"/>
  <c r="T62" i="30" s="1"/>
  <c r="P58" i="30"/>
  <c r="P60" i="30" s="1"/>
  <c r="P62" i="30" s="1"/>
  <c r="O58" i="30"/>
  <c r="O60" i="30" s="1"/>
  <c r="O62" i="30" s="1"/>
  <c r="W40" i="30"/>
  <c r="H39" i="25" s="1"/>
  <c r="R109" i="30"/>
  <c r="R119" i="30" s="1"/>
  <c r="R6" i="36" s="1"/>
  <c r="R8" i="36" s="1"/>
  <c r="L58" i="30"/>
  <c r="L60" i="30" s="1"/>
  <c r="L62" i="30" s="1"/>
  <c r="V12" i="36" l="1"/>
  <c r="U12" i="36"/>
  <c r="N12" i="36"/>
  <c r="R12" i="36"/>
  <c r="S12" i="36"/>
  <c r="T123" i="30"/>
  <c r="T127" i="30" s="1"/>
  <c r="T57" i="36" s="1"/>
  <c r="T71" i="36" s="1"/>
  <c r="W52" i="30"/>
  <c r="W51" i="30"/>
  <c r="R123" i="30"/>
  <c r="R127" i="30" s="1"/>
  <c r="R57" i="36" s="1"/>
  <c r="R71" i="36" s="1"/>
  <c r="M123" i="30"/>
  <c r="M127" i="30" s="1"/>
  <c r="M57" i="36" s="1"/>
  <c r="M67" i="36" s="1"/>
  <c r="P123" i="30"/>
  <c r="P127" i="30" s="1"/>
  <c r="P57" i="36" s="1"/>
  <c r="P69" i="36" s="1"/>
  <c r="J109" i="30"/>
  <c r="V123" i="30"/>
  <c r="V127" i="30" s="1"/>
  <c r="V57" i="36" s="1"/>
  <c r="N66" i="30"/>
  <c r="S123" i="30"/>
  <c r="S127" i="30" s="1"/>
  <c r="S57" i="36" s="1"/>
  <c r="S70" i="36" s="1"/>
  <c r="N70" i="36"/>
  <c r="S66" i="30"/>
  <c r="V66" i="30"/>
  <c r="N69" i="36"/>
  <c r="Q123" i="30"/>
  <c r="Q127" i="30" s="1"/>
  <c r="Q57" i="36" s="1"/>
  <c r="Q68" i="36" s="1"/>
  <c r="U66" i="30"/>
  <c r="W54" i="30"/>
  <c r="N68" i="36"/>
  <c r="N67" i="36"/>
  <c r="K123" i="30"/>
  <c r="K127" i="30" s="1"/>
  <c r="K57" i="36" s="1"/>
  <c r="K63" i="36" s="1"/>
  <c r="Q66" i="30"/>
  <c r="Q109" i="30"/>
  <c r="Q119" i="30" s="1"/>
  <c r="Q6" i="36" s="1"/>
  <c r="Q8" i="36" s="1"/>
  <c r="N66" i="36"/>
  <c r="N65" i="36"/>
  <c r="N72" i="36"/>
  <c r="W53" i="30"/>
  <c r="P68" i="36"/>
  <c r="S72" i="36"/>
  <c r="O72" i="36"/>
  <c r="O66" i="36"/>
  <c r="O67" i="36"/>
  <c r="O71" i="36"/>
  <c r="O68" i="36"/>
  <c r="O69" i="36"/>
  <c r="O70" i="36"/>
  <c r="L66" i="36"/>
  <c r="L63" i="36"/>
  <c r="L71" i="36"/>
  <c r="L68" i="36"/>
  <c r="L65" i="36"/>
  <c r="L70" i="36"/>
  <c r="L67" i="36"/>
  <c r="L64" i="36"/>
  <c r="L72" i="36"/>
  <c r="L69" i="36"/>
  <c r="M109" i="30"/>
  <c r="M119" i="30" s="1"/>
  <c r="M6" i="36" s="1"/>
  <c r="M8" i="36" s="1"/>
  <c r="M66" i="30"/>
  <c r="T109" i="30"/>
  <c r="T119" i="30" s="1"/>
  <c r="T6" i="36" s="1"/>
  <c r="T8" i="36" s="1"/>
  <c r="T66" i="30"/>
  <c r="W58" i="30"/>
  <c r="R24" i="25" s="1"/>
  <c r="R25" i="25" s="1"/>
  <c r="L109" i="30"/>
  <c r="L119" i="30" s="1"/>
  <c r="L6" i="36" s="1"/>
  <c r="L8" i="36" s="1"/>
  <c r="L66" i="30"/>
  <c r="O66" i="30"/>
  <c r="O109" i="30"/>
  <c r="O119" i="30" s="1"/>
  <c r="O6" i="36" s="1"/>
  <c r="O8" i="36" s="1"/>
  <c r="J61" i="36"/>
  <c r="J63" i="36"/>
  <c r="J65" i="36"/>
  <c r="J67" i="36"/>
  <c r="J69" i="36"/>
  <c r="J71" i="36"/>
  <c r="J62" i="36"/>
  <c r="J64" i="36"/>
  <c r="J66" i="36"/>
  <c r="J68" i="36"/>
  <c r="J70" i="36"/>
  <c r="J72" i="36"/>
  <c r="H43" i="25"/>
  <c r="I39" i="25"/>
  <c r="P109" i="30"/>
  <c r="P119" i="30" s="1"/>
  <c r="P6" i="36" s="1"/>
  <c r="P8" i="36" s="1"/>
  <c r="P66" i="30"/>
  <c r="K62" i="30"/>
  <c r="W60" i="30"/>
  <c r="P72" i="36" l="1"/>
  <c r="P70" i="36"/>
  <c r="T72" i="36"/>
  <c r="M68" i="36"/>
  <c r="M72" i="36"/>
  <c r="S71" i="36"/>
  <c r="P71" i="36"/>
  <c r="P67" i="36"/>
  <c r="Q12" i="36"/>
  <c r="O12" i="36"/>
  <c r="P12" i="36"/>
  <c r="L12" i="36"/>
  <c r="T12" i="36"/>
  <c r="M12" i="36"/>
  <c r="K66" i="36"/>
  <c r="R72" i="36"/>
  <c r="K72" i="36"/>
  <c r="R69" i="36"/>
  <c r="R70" i="36"/>
  <c r="M69" i="36"/>
  <c r="M64" i="36"/>
  <c r="Q72" i="36"/>
  <c r="M70" i="36"/>
  <c r="M66" i="36"/>
  <c r="M65" i="36"/>
  <c r="J119" i="30"/>
  <c r="J6" i="36" s="1"/>
  <c r="J8" i="36" s="1"/>
  <c r="S24" i="25"/>
  <c r="S23" i="25"/>
  <c r="W57" i="36"/>
  <c r="Q71" i="36"/>
  <c r="M71" i="36"/>
  <c r="K67" i="36"/>
  <c r="K62" i="36"/>
  <c r="K68" i="36"/>
  <c r="Q69" i="36"/>
  <c r="Q70" i="36"/>
  <c r="K64" i="36"/>
  <c r="K65" i="36"/>
  <c r="K69" i="36"/>
  <c r="K70" i="36"/>
  <c r="K71" i="36"/>
  <c r="K66" i="30"/>
  <c r="W62" i="30"/>
  <c r="K109" i="30"/>
  <c r="K119" i="30" s="1"/>
  <c r="K6" i="36" s="1"/>
  <c r="I26" i="25"/>
  <c r="I30" i="25"/>
  <c r="I34" i="25"/>
  <c r="I38" i="25"/>
  <c r="I23" i="25"/>
  <c r="I27" i="25"/>
  <c r="I35" i="25"/>
  <c r="I29" i="25"/>
  <c r="I31" i="25"/>
  <c r="I25" i="25"/>
  <c r="I37" i="25"/>
  <c r="I24" i="25"/>
  <c r="I28" i="25"/>
  <c r="I32" i="25"/>
  <c r="I36" i="25"/>
  <c r="I33" i="25"/>
  <c r="J12" i="36" l="1"/>
  <c r="J11" i="36"/>
  <c r="W67" i="30"/>
  <c r="F28" i="23" s="1"/>
  <c r="W66" i="30"/>
  <c r="F26" i="23" s="1"/>
  <c r="I43" i="25"/>
  <c r="K8" i="36"/>
  <c r="W6" i="36"/>
  <c r="J14" i="36" l="1"/>
  <c r="J13" i="36"/>
  <c r="K10" i="36" s="1"/>
  <c r="K11" i="36" s="1"/>
  <c r="K14" i="36" s="1"/>
  <c r="K12" i="36"/>
  <c r="W8" i="36"/>
  <c r="K16" i="36" l="1"/>
  <c r="K19" i="36" s="1"/>
  <c r="K31" i="36" s="1"/>
  <c r="K48" i="36" s="1"/>
  <c r="J16" i="36"/>
  <c r="J19" i="36" s="1"/>
  <c r="K13" i="36"/>
  <c r="L10" i="36" s="1"/>
  <c r="J31" i="36" l="1"/>
  <c r="J48" i="36" s="1"/>
  <c r="L11" i="36"/>
  <c r="L14" i="36" s="1"/>
  <c r="K55" i="36"/>
  <c r="J50" i="36" l="1"/>
  <c r="K50" i="36"/>
  <c r="J55" i="36"/>
  <c r="J60" i="36" s="1"/>
  <c r="L16" i="36"/>
  <c r="L19" i="36" s="1"/>
  <c r="L31" i="36" s="1"/>
  <c r="L13" i="36"/>
  <c r="M10" i="36" s="1"/>
  <c r="K60" i="36"/>
  <c r="K61" i="36"/>
  <c r="L48" i="36" l="1"/>
  <c r="M11" i="36"/>
  <c r="M14" i="36" s="1"/>
  <c r="M13" i="36" l="1"/>
  <c r="N10" i="36" s="1"/>
  <c r="N11" i="36" s="1"/>
  <c r="N14" i="36" s="1"/>
  <c r="L55" i="36"/>
  <c r="L50" i="36"/>
  <c r="M16" i="36"/>
  <c r="M19" i="36" s="1"/>
  <c r="M31" i="36" s="1"/>
  <c r="M48" i="36" l="1"/>
  <c r="M55" i="36" s="1"/>
  <c r="N16" i="36"/>
  <c r="N19" i="36" s="1"/>
  <c r="N31" i="36" s="1"/>
  <c r="L62" i="36"/>
  <c r="L60" i="36"/>
  <c r="L61" i="36"/>
  <c r="N13" i="36"/>
  <c r="O10" i="36" s="1"/>
  <c r="N48" i="36" l="1"/>
  <c r="N55" i="36" s="1"/>
  <c r="M50" i="36"/>
  <c r="O11" i="36"/>
  <c r="O14" i="36" s="1"/>
  <c r="O16" i="36" l="1"/>
  <c r="O19" i="36" s="1"/>
  <c r="O31" i="36" s="1"/>
  <c r="O13" i="36"/>
  <c r="P10" i="36" s="1"/>
  <c r="P11" i="36" s="1"/>
  <c r="P14" i="36" s="1"/>
  <c r="N50" i="36"/>
  <c r="M62" i="36"/>
  <c r="M61" i="36"/>
  <c r="M60" i="36"/>
  <c r="M63" i="36"/>
  <c r="N62" i="36"/>
  <c r="N61" i="36"/>
  <c r="N64" i="36"/>
  <c r="N60" i="36"/>
  <c r="N63" i="36"/>
  <c r="P13" i="36" l="1"/>
  <c r="Q10" i="36" s="1"/>
  <c r="Q11" i="36" s="1"/>
  <c r="Q14" i="36" s="1"/>
  <c r="O48" i="36"/>
  <c r="P16" i="36"/>
  <c r="P19" i="36" s="1"/>
  <c r="P31" i="36" s="1"/>
  <c r="P48" i="36" s="1"/>
  <c r="P55" i="36" s="1"/>
  <c r="P66" i="36" l="1"/>
  <c r="P63" i="36"/>
  <c r="P65" i="36"/>
  <c r="P60" i="36"/>
  <c r="P61" i="36"/>
  <c r="P64" i="36"/>
  <c r="P62" i="36"/>
  <c r="Q13" i="36"/>
  <c r="R10" i="36" s="1"/>
  <c r="R11" i="36" s="1"/>
  <c r="R14" i="36" s="1"/>
  <c r="Q16" i="36"/>
  <c r="Q19" i="36" s="1"/>
  <c r="Q31" i="36" s="1"/>
  <c r="Q48" i="36" s="1"/>
  <c r="O55" i="36"/>
  <c r="P50" i="36"/>
  <c r="O50" i="36"/>
  <c r="R16" i="36" l="1"/>
  <c r="R19" i="36" s="1"/>
  <c r="R31" i="36" s="1"/>
  <c r="R48" i="36" s="1"/>
  <c r="Q55" i="36"/>
  <c r="Q50" i="36"/>
  <c r="O64" i="36"/>
  <c r="O60" i="36"/>
  <c r="O65" i="36"/>
  <c r="O61" i="36"/>
  <c r="O63" i="36"/>
  <c r="O62" i="36"/>
  <c r="R13" i="36"/>
  <c r="S10" i="36" s="1"/>
  <c r="S11" i="36" s="1"/>
  <c r="S14" i="36" s="1"/>
  <c r="R55" i="36" l="1"/>
  <c r="R65" i="36" s="1"/>
  <c r="R50" i="36"/>
  <c r="Q64" i="36"/>
  <c r="Q63" i="36"/>
  <c r="Q66" i="36"/>
  <c r="Q61" i="36"/>
  <c r="Q60" i="36"/>
  <c r="Q67" i="36"/>
  <c r="Q62" i="36"/>
  <c r="Q65" i="36"/>
  <c r="S16" i="36"/>
  <c r="S19" i="36" s="1"/>
  <c r="S31" i="36" s="1"/>
  <c r="S48" i="36" s="1"/>
  <c r="S13" i="36"/>
  <c r="T10" i="36" s="1"/>
  <c r="R66" i="36" l="1"/>
  <c r="R64" i="36"/>
  <c r="R62" i="36"/>
  <c r="R60" i="36"/>
  <c r="R63" i="36"/>
  <c r="R68" i="36"/>
  <c r="R61" i="36"/>
  <c r="R67" i="36"/>
  <c r="S55" i="36"/>
  <c r="S50" i="36"/>
  <c r="T11" i="36"/>
  <c r="T14" i="36" s="1"/>
  <c r="T13" i="36" l="1"/>
  <c r="U10" i="36" s="1"/>
  <c r="T16" i="36"/>
  <c r="T19" i="36" s="1"/>
  <c r="T31" i="36" s="1"/>
  <c r="T48" i="36" s="1"/>
  <c r="S62" i="36"/>
  <c r="S61" i="36"/>
  <c r="S69" i="36"/>
  <c r="S68" i="36"/>
  <c r="S64" i="36"/>
  <c r="S63" i="36"/>
  <c r="S67" i="36"/>
  <c r="S66" i="36"/>
  <c r="S65" i="36"/>
  <c r="S60" i="36"/>
  <c r="U11" i="36"/>
  <c r="U14" i="36" s="1"/>
  <c r="T55" i="36" l="1"/>
  <c r="T50" i="36"/>
  <c r="U13" i="36"/>
  <c r="V10" i="36" s="1"/>
  <c r="V11" i="36" s="1"/>
  <c r="V14" i="36" s="1"/>
  <c r="U16" i="36"/>
  <c r="U19" i="36" s="1"/>
  <c r="U31" i="36" s="1"/>
  <c r="U48" i="36" s="1"/>
  <c r="U55" i="36" l="1"/>
  <c r="U50" i="36"/>
  <c r="V16" i="36"/>
  <c r="V19" i="36" s="1"/>
  <c r="V31" i="36" s="1"/>
  <c r="V13" i="36"/>
  <c r="T62" i="36"/>
  <c r="T70" i="36"/>
  <c r="T67" i="36"/>
  <c r="T68" i="36"/>
  <c r="T64" i="36"/>
  <c r="T61" i="36"/>
  <c r="T69" i="36"/>
  <c r="T66" i="36"/>
  <c r="T60" i="36"/>
  <c r="T63" i="36"/>
  <c r="T65" i="36"/>
  <c r="V48" i="36" l="1"/>
  <c r="W31" i="36"/>
  <c r="U71" i="36"/>
  <c r="U61" i="36"/>
  <c r="U64" i="36"/>
  <c r="U69" i="36"/>
  <c r="U63" i="36"/>
  <c r="U70" i="36"/>
  <c r="U68" i="36"/>
  <c r="U65" i="36"/>
  <c r="U66" i="36"/>
  <c r="U62" i="36"/>
  <c r="U60" i="36"/>
  <c r="U67" i="36"/>
  <c r="V55" i="36" l="1"/>
  <c r="W48" i="36"/>
  <c r="V50" i="36"/>
  <c r="W49" i="36"/>
  <c r="V65" i="36" l="1"/>
  <c r="W65" i="36" s="1"/>
  <c r="V60" i="36"/>
  <c r="W60" i="36" s="1"/>
  <c r="V68" i="36"/>
  <c r="W68" i="36" s="1"/>
  <c r="V71" i="36"/>
  <c r="W71" i="36" s="1"/>
  <c r="V67" i="36"/>
  <c r="W67" i="36" s="1"/>
  <c r="V62" i="36"/>
  <c r="W62" i="36" s="1"/>
  <c r="V70" i="36"/>
  <c r="W70" i="36" s="1"/>
  <c r="V63" i="36"/>
  <c r="W63" i="36" s="1"/>
  <c r="V61" i="36"/>
  <c r="W61" i="36" s="1"/>
  <c r="V69" i="36"/>
  <c r="W69" i="36" s="1"/>
  <c r="V64" i="36"/>
  <c r="W64" i="36" s="1"/>
  <c r="V72" i="36"/>
  <c r="W72" i="36" s="1"/>
  <c r="V66" i="36"/>
  <c r="W66" i="36" s="1"/>
  <c r="W55" i="36"/>
  <c r="W74" i="36" l="1"/>
  <c r="J74" i="36" s="1"/>
</calcChain>
</file>

<file path=xl/sharedStrings.xml><?xml version="1.0" encoding="utf-8"?>
<sst xmlns="http://schemas.openxmlformats.org/spreadsheetml/2006/main" count="696" uniqueCount="373">
  <si>
    <t>מימון</t>
  </si>
  <si>
    <t>שכירות</t>
  </si>
  <si>
    <t>הכנסות</t>
  </si>
  <si>
    <t>הגבלת אחריות</t>
  </si>
  <si>
    <t>מדריך למשתמש:</t>
  </si>
  <si>
    <t>עבודה זו מיועדת ללקוח לצרכים פנימיים בלבד. יודגש כי הלקוח לא יוכל לעשות שימוש בעבודה, מידע ו/או בתוצרים הנמסרים על ידנו, כולם או חלקם ללא קבלת אישורינו מראש לכך.</t>
  </si>
  <si>
    <t>במהלך עבודתנו, נמסרו לנו הערכות הנהלה ומידע פיננסי חזוי בנוגע לענף המלונאות בישראל ללא ביצוע אימות עצמאי. הסתמכנו על מידע זה כמשקף באופן מדויק את תוצאות הפעילות של ענף המלונאות בישראל. נאותות הערכות ההתאחדות והמידע הפיננסי החזוי עליהם הסתמכנו בעבודתנו הינם באחריותה הבלעדית של ההתאחדות. המודל נבנה על בסיס נתוני ההתאחדות, אשר אישרה את נכונות העובדות. כמו כן, אנו, כיועצים פיננסים, לא ביקרנו מידע זה או נתונים או מידע אחר, ולא מחווים דעה או מספקים סוג אחר של ביטחון בנוגע לדיוק או נאותות ההצגה.</t>
  </si>
  <si>
    <t>סה"כ הוצאות</t>
  </si>
  <si>
    <t>מס"ד</t>
  </si>
  <si>
    <t>תכולה</t>
  </si>
  <si>
    <t>הערה</t>
  </si>
  <si>
    <t>כללי:</t>
  </si>
  <si>
    <t>מזון ומשקאות</t>
  </si>
  <si>
    <t>הוצאות כלליות</t>
  </si>
  <si>
    <t>ארנונה</t>
  </si>
  <si>
    <t>חודשים</t>
  </si>
  <si>
    <t>סיכומי שיחות</t>
  </si>
  <si>
    <t>מודל זה נבנה לבקשת הנהלת התאחדות המלונות בישראל (להלן: "ההתאחדות") ולשימושה הפנימי בלבד בהתאם לתנאי מכתב ההתקשרות בינינו מיום 5 באפריל 2020. מובהר, כי אין ולא תהיה לנו כל אחריות כלפי מקבל מודל זה שאינו הלקוח. בונה מודל זה לא יישא בכל אחריות וינקוט בכל האמצעים המשפטיים כנגד העושה שימוש בלתי מורשה במסמך זה.</t>
  </si>
  <si>
    <t>תזרים</t>
  </si>
  <si>
    <t>יתרות מזומנים</t>
  </si>
  <si>
    <t>יתרת פתיחה</t>
  </si>
  <si>
    <t>תנועה</t>
  </si>
  <si>
    <t>יתרת סגירה</t>
  </si>
  <si>
    <t>שנה</t>
  </si>
  <si>
    <t>אחוזי תפוסה</t>
  </si>
  <si>
    <t>גרף 1:</t>
  </si>
  <si>
    <t>הכנסות ואחוזי תפוסה</t>
  </si>
  <si>
    <t>ניתוח עלויות</t>
  </si>
  <si>
    <t>יתרת סגירה מזומנים</t>
  </si>
  <si>
    <t>סה"כ עלויות</t>
  </si>
  <si>
    <t>הוצאה שנתית</t>
  </si>
  <si>
    <t>אחוז מתוך סך ההוצאות</t>
  </si>
  <si>
    <t xml:space="preserve">חודש פתיחת המלון - </t>
  </si>
  <si>
    <t>ניתוח הורדת מחירים בכ-</t>
  </si>
  <si>
    <t>הקטת הוצאות התפעול ב-</t>
  </si>
  <si>
    <t>גרף 2:</t>
  </si>
  <si>
    <t>גרף 3:</t>
  </si>
  <si>
    <t>גרף 4:</t>
  </si>
  <si>
    <t>הכנסות:</t>
  </si>
  <si>
    <t>צפי לאחוזי תפוסה בשנה הקרובה:</t>
  </si>
  <si>
    <t>הוצאות קבועות</t>
  </si>
  <si>
    <t>הוצאות:</t>
  </si>
  <si>
    <t>הוצאות משתנות בחודש עם תפוסה מלאה</t>
  </si>
  <si>
    <t>חשמל ומים</t>
  </si>
  <si>
    <t>תחזוקת חדרים</t>
  </si>
  <si>
    <t>פרסום, קשרי לקוחות ויח"צ</t>
  </si>
  <si>
    <t>תפוסה צפויה (ראשונית)</t>
  </si>
  <si>
    <t>ירידה במחיר</t>
  </si>
  <si>
    <t>עלייה בתפוסה</t>
  </si>
  <si>
    <t>הכנסות צפויות</t>
  </si>
  <si>
    <t>הכנסות במחיר חדש לפני עלייה בתפוסה</t>
  </si>
  <si>
    <t>תוספת לתפוסה עקב הורדת מחירים</t>
  </si>
  <si>
    <t>סה"כ הוצאות קבועות</t>
  </si>
  <si>
    <t>סה"כ הוצאות משתנות</t>
  </si>
  <si>
    <t>הוצאה בלתי נמנעת</t>
  </si>
  <si>
    <t>הוצאה בלתי נמנעת?</t>
  </si>
  <si>
    <t>כן</t>
  </si>
  <si>
    <t>לא</t>
  </si>
  <si>
    <t>סה"כ הוצאות בלתי נמנעות</t>
  </si>
  <si>
    <t>בדיקת כדאיות</t>
  </si>
  <si>
    <t>פתיחת מלון:</t>
  </si>
  <si>
    <t>חודש שמקטין את ההפסדים</t>
  </si>
  <si>
    <t>חודש פתיחת מלון</t>
  </si>
  <si>
    <t>הכנסות נבחרות</t>
  </si>
  <si>
    <t>הוצאות נבחרות</t>
  </si>
  <si>
    <t xml:space="preserve"> אחוזים</t>
  </si>
  <si>
    <t>סה"כ הכנסה עד חודש מאי 2021</t>
  </si>
  <si>
    <t>הכנסה חודשית ממוצעת עד חודש מאי 2021</t>
  </si>
  <si>
    <t>סה"כ הוצאות עד חודש מאי 2021</t>
  </si>
  <si>
    <t>הוצאה חודשית ממוצעת עד חודש מאי 2021</t>
  </si>
  <si>
    <t>רווח (הפסד):</t>
  </si>
  <si>
    <t>סה"כ תזרים עד חודש מאי 2021</t>
  </si>
  <si>
    <t>תזרים ממוצע עד חודש מאי 2021</t>
  </si>
  <si>
    <t>היקף פעילות לצורך עלויות</t>
  </si>
  <si>
    <t>הקטנת הוצאות התפעול</t>
  </si>
  <si>
    <t>סה"כ הוצאות בשקלול הקטנת הוצאות תפעול</t>
  </si>
  <si>
    <t>*ללא התחשבות בהקטנת הוצאות תפעוליות אם הוזנו</t>
  </si>
  <si>
    <t>פרמטרים לבחירה</t>
  </si>
  <si>
    <r>
      <t xml:space="preserve"> בחודש </t>
    </r>
    <r>
      <rPr>
        <b/>
        <u/>
        <sz val="11"/>
        <color theme="1"/>
        <rFont val="David"/>
        <family val="2"/>
        <charset val="177"/>
      </rPr>
      <t>פעיל</t>
    </r>
  </si>
  <si>
    <t>בכמה יעלה אחוז התפוסה על ירידה של 10% במחיר?</t>
  </si>
  <si>
    <t>שלב 1 - מילוי ההנחות של המלון הספציפי שלך:</t>
  </si>
  <si>
    <t>יש להזין בגיליון "הנחות" את הנתונים:</t>
  </si>
  <si>
    <t>א. כללי:</t>
  </si>
  <si>
    <t>אין להשאיר תאים ריקים!</t>
  </si>
  <si>
    <t>ב. הכנסות:</t>
  </si>
  <si>
    <t>התאחדות המלונות בישראל - מודל ניהול מלון על רקע משבר הקורונה</t>
  </si>
  <si>
    <t>ב. עלויות:</t>
  </si>
  <si>
    <t>שלב 2- ניתוח המצב הפיננסי של המלון הספציפי שלך:</t>
  </si>
  <si>
    <t>לאחר הזנת כל ההנחות, הגיע השלב לראות את התוצאות - יש לבחור בגיליון "Dashboard".</t>
  </si>
  <si>
    <t>כמו כן, ניתן לבצע מספר ניתוחי רגישות בגיליון הזה:</t>
  </si>
  <si>
    <t>ניתוח רגישות 1:</t>
  </si>
  <si>
    <t>המודל מאשר לבחור באיזה חודש לפתוח את המלון.</t>
  </si>
  <si>
    <t>ניתוח רגישות 2:</t>
  </si>
  <si>
    <t>המודל מאפשר לבחון כיצד התוצאות הפיננסיות ישתנו אם נבחר להוריד מחירים באחוז כלשהו.</t>
  </si>
  <si>
    <t>כאשר אנו מכניסים את האחוז שברצונכם לבחון (לדוגמא - ירידה של כ-20% במחיר), המודל יתעדכן אוטומטית כאשר הוא לוקח בחשבון את עליית התפוסה בעקבות הורדת המחירים.</t>
  </si>
  <si>
    <t>ניתוח רגישות 3:</t>
  </si>
  <si>
    <t>המודל מאפשר לבחון כיצד התוצאות הפיננסיות ישתנו אם נצמצם את ההוצאות התפעוליות שלנו בסכום כלשהו.</t>
  </si>
  <si>
    <t>לאחר הזנת הסכום שבו אנו צופית שנצמצם את העלויות בכל חודש, המודל יתעדכן אוטומטית.</t>
  </si>
  <si>
    <t>ייתכן כי לאחר הפחתת מחירי החדרים ב-X אחוזים, החודש שכדאי לפתוח בו את המלון יתעדכן.</t>
  </si>
  <si>
    <t>הנחות תזרימיות ויתרות הון חוזר - אופציונאלי</t>
  </si>
  <si>
    <t>חוב פיננסי (להזין מספרים חיוביים):</t>
  </si>
  <si>
    <t>כמות חדרים של המלון</t>
  </si>
  <si>
    <t>הכנסות על פי מחיר לחדר:</t>
  </si>
  <si>
    <t>סיווג ההוצאה ברוו"ה</t>
  </si>
  <si>
    <t>האם הוצאה תזרימית?</t>
  </si>
  <si>
    <t>פחת</t>
  </si>
  <si>
    <t>גובה ההוצאה</t>
  </si>
  <si>
    <t>סוג הוצאה</t>
  </si>
  <si>
    <t>עלות המכר</t>
  </si>
  <si>
    <t>הנהלה וכלליות</t>
  </si>
  <si>
    <t>מכירה ושיווק</t>
  </si>
  <si>
    <t>הוצאות אחרות</t>
  </si>
  <si>
    <t>תשלום לקוחות ממוצע הינו שוטף פלוס</t>
  </si>
  <si>
    <t>האם משולם לספק?</t>
  </si>
  <si>
    <t>הוצאות משתנות</t>
  </si>
  <si>
    <t>הכנסות - TOP DOWN</t>
  </si>
  <si>
    <t>הכנסות - BOTTOM UP</t>
  </si>
  <si>
    <t>מחיר  ממוצע צפוי:</t>
  </si>
  <si>
    <t>מחיר ממוצע צפוי על פי ההנחות</t>
  </si>
  <si>
    <t>מחיר ממוצע לאחר הנחה</t>
  </si>
  <si>
    <t>מספר לינות צפוי</t>
  </si>
  <si>
    <t>מספר לינות צפוי:</t>
  </si>
  <si>
    <t>מספר ימים ממוצע לחודש</t>
  </si>
  <si>
    <t>עלייה במספר לינות בגין הנחת מחירים</t>
  </si>
  <si>
    <t>מספר לינות בהתחשב בעלייה בגין הנחת מחירים</t>
  </si>
  <si>
    <t>סה"כ הכנסות טרם הנחת מחירים</t>
  </si>
  <si>
    <t>סה"כ הכנסות לאחר הנחת מחירים</t>
  </si>
  <si>
    <t>עלייה בהכנסות בעקבות הורדת המחירים</t>
  </si>
  <si>
    <t>האם כדאי להוריד את המחיר באותו החודש?</t>
  </si>
  <si>
    <t>תפוסה צפויה לאחר הנחת מחירים</t>
  </si>
  <si>
    <t>סוג ההכנסה שנבחרה</t>
  </si>
  <si>
    <t>הוצאות</t>
  </si>
  <si>
    <t>גובה</t>
  </si>
  <si>
    <t>בלתי נמנעת?</t>
  </si>
  <si>
    <t>סיווג ברוו"ה</t>
  </si>
  <si>
    <t>תזרימית?</t>
  </si>
  <si>
    <t>הוצאות רוח והפסד</t>
  </si>
  <si>
    <t>האם המלון פתוח?</t>
  </si>
  <si>
    <t>סוג ההוצאה:</t>
  </si>
  <si>
    <t>רווח והפסד</t>
  </si>
  <si>
    <t>האם המלון פתוח</t>
  </si>
  <si>
    <t>הוצאות הנהלה וכלליות</t>
  </si>
  <si>
    <t>הוצאות מכירה ושיווק</t>
  </si>
  <si>
    <t>הוצאות פחת</t>
  </si>
  <si>
    <t>EBITDA</t>
  </si>
  <si>
    <t>הוצאות מימון</t>
  </si>
  <si>
    <t>רווח (הפסד) גולמי</t>
  </si>
  <si>
    <t>רווח (הפסד) תפעולי</t>
  </si>
  <si>
    <t>רווח (הפסד) לפני מימון ומס</t>
  </si>
  <si>
    <t>רווח (הפסד) לפני מס</t>
  </si>
  <si>
    <t>הוצאות מס</t>
  </si>
  <si>
    <t>רווח (הפסד) נקי</t>
  </si>
  <si>
    <t>יתרת פתיחה הפסדים צבורים</t>
  </si>
  <si>
    <t>רווח (הפסד) חייב במס</t>
  </si>
  <si>
    <t>הפסדים מועברים לתקופה הבאה</t>
  </si>
  <si>
    <t>הפסדים שנוצלו בתקופה זו</t>
  </si>
  <si>
    <t>הפסדים שנצברו בתקופה זו</t>
  </si>
  <si>
    <t>רווח והפסד דינמי</t>
  </si>
  <si>
    <t>חודש התחלה</t>
  </si>
  <si>
    <t>בניית עזר לדינמי</t>
  </si>
  <si>
    <t>חודש אחרון</t>
  </si>
  <si>
    <t>סה"כ הוצאות קבועות שהוזנו</t>
  </si>
  <si>
    <t>סה"כ הוצאות משתנות שהוזנו</t>
  </si>
  <si>
    <t>סה"כ הוצאות שהוזנו</t>
  </si>
  <si>
    <t>הכנסה בחודש במחיר הגבוה ביותר</t>
  </si>
  <si>
    <t>הכנסה בחודש במחיר הנמוך ביותר</t>
  </si>
  <si>
    <t>מס הכנסה:</t>
  </si>
  <si>
    <t>שיעור מס</t>
  </si>
  <si>
    <t>מכירות</t>
  </si>
  <si>
    <t>ממאי 2020:</t>
  </si>
  <si>
    <t>במזומן</t>
  </si>
  <si>
    <t>באשראי</t>
  </si>
  <si>
    <t>תאריך גבייה</t>
  </si>
  <si>
    <t>גבייה:</t>
  </si>
  <si>
    <t>תחילת חודש אחרי</t>
  </si>
  <si>
    <t>0-30</t>
  </si>
  <si>
    <t>יתרת לקוחות לסוף החודש</t>
  </si>
  <si>
    <t>30-60</t>
  </si>
  <si>
    <t>60-90</t>
  </si>
  <si>
    <t>90-120</t>
  </si>
  <si>
    <t>120-150</t>
  </si>
  <si>
    <t>150-180</t>
  </si>
  <si>
    <t>180-210</t>
  </si>
  <si>
    <t>210-240</t>
  </si>
  <si>
    <t>240-260</t>
  </si>
  <si>
    <t>260-290</t>
  </si>
  <si>
    <t>290-320</t>
  </si>
  <si>
    <t>320-360</t>
  </si>
  <si>
    <t>טרם מאי 2020:</t>
  </si>
  <si>
    <t>יתרת פתיחה לחודש</t>
  </si>
  <si>
    <t>גבייה</t>
  </si>
  <si>
    <t>יתרת סגירה לחודש</t>
  </si>
  <si>
    <t>גיול לקוחות לסוף החודש - ללא לקוחות טרום מאי 2020</t>
  </si>
  <si>
    <t>טרום מאי 2020</t>
  </si>
  <si>
    <t>תשלום</t>
  </si>
  <si>
    <t>תשלום ספקים ממוצע הינו שוטף פלוס</t>
  </si>
  <si>
    <t>הוצאות ספקים</t>
  </si>
  <si>
    <t>סה"כ הוצאות לספקים בכל חודש</t>
  </si>
  <si>
    <t>קניות מספקים</t>
  </si>
  <si>
    <t>עלות המכר - פחת</t>
  </si>
  <si>
    <t>הנהלה וכלליות - פחת</t>
  </si>
  <si>
    <t>מכירה ושיווק - פחת</t>
  </si>
  <si>
    <t>הוצאות אחרות - פחת</t>
  </si>
  <si>
    <t>סה"כ פחת</t>
  </si>
  <si>
    <t>גבייה מלקוחות</t>
  </si>
  <si>
    <t>רווח נקי</t>
  </si>
  <si>
    <t>תיאומים בגין פעילות שוטפת:</t>
  </si>
  <si>
    <t>גבייה מלקוחות עבר</t>
  </si>
  <si>
    <t>מכירות שלא במזומן</t>
  </si>
  <si>
    <t>תשלום לספקים</t>
  </si>
  <si>
    <t>תשלום לספקים בגין חודשים קודמים</t>
  </si>
  <si>
    <t>קניות מספקים באשראי</t>
  </si>
  <si>
    <t>סה"כ תזרים מפעילות שוטפת</t>
  </si>
  <si>
    <t>פעילות השקעה</t>
  </si>
  <si>
    <t>השקעה ברכוש קבוע</t>
  </si>
  <si>
    <t>תזרים מפעילות השקעה</t>
  </si>
  <si>
    <t>פעילות מימון</t>
  </si>
  <si>
    <t>נטילת הלוואה</t>
  </si>
  <si>
    <t>פירעון קרן</t>
  </si>
  <si>
    <t>תזרים מפעילות מימון</t>
  </si>
  <si>
    <t>סה"כ תזרים</t>
  </si>
  <si>
    <t>גיול ספקים</t>
  </si>
  <si>
    <t>גיול לקוחות</t>
  </si>
  <si>
    <t>מספר חודשים להפחתת רכוש קבוע</t>
  </si>
  <si>
    <t>פחת צפוי בגין השקעות טרם מאי 2020:</t>
  </si>
  <si>
    <t>סה"כ פחת לשנה</t>
  </si>
  <si>
    <t>השקעות</t>
  </si>
  <si>
    <t>הוצאות פחת סה"כ</t>
  </si>
  <si>
    <t>הוצאות פחת טרם מאי 2020</t>
  </si>
  <si>
    <t>אחוז הפחת בעבור עלות המכר</t>
  </si>
  <si>
    <t>אחוז הפחת בעבור מכירה ושיווק</t>
  </si>
  <si>
    <t>אחוז הפחת בעבור הוצאות אחרות</t>
  </si>
  <si>
    <t>אחוז הפחת בעבור הנהלה וכלליות</t>
  </si>
  <si>
    <t>בחינת הרמטיות הפחת</t>
  </si>
  <si>
    <t>קרן</t>
  </si>
  <si>
    <t>ריבית</t>
  </si>
  <si>
    <t>תקופות</t>
  </si>
  <si>
    <t>תאריך תחילת התקופה</t>
  </si>
  <si>
    <t>תאריך סוף תקופה</t>
  </si>
  <si>
    <t>צבירת ריבית לתקופה</t>
  </si>
  <si>
    <t>תשלום בתקופה</t>
  </si>
  <si>
    <t>תשלום בגין קרן</t>
  </si>
  <si>
    <t>חודש נטילת הלוואה</t>
  </si>
  <si>
    <t>ריבית חודשית</t>
  </si>
  <si>
    <t>הלוואה חדשה - שפיצר</t>
  </si>
  <si>
    <t>הוצאות מימון:</t>
  </si>
  <si>
    <t>מימון ויתרות מזומנים</t>
  </si>
  <si>
    <t>הוצאות מימון בגין הלוואה טרם מאי 2020</t>
  </si>
  <si>
    <t>הוצאות מימון בגין הלוואה חדשה</t>
  </si>
  <si>
    <t>סה"כ הוצאות מימון</t>
  </si>
  <si>
    <t>השקעות הוניות</t>
  </si>
  <si>
    <t>החזרי קרן</t>
  </si>
  <si>
    <t>יתרות פתיחה</t>
  </si>
  <si>
    <t>יתרות סגירה</t>
  </si>
  <si>
    <t>הוצאות מימון - הזנת הוצאה</t>
  </si>
  <si>
    <t>הוצאות מימון - משוכלל</t>
  </si>
  <si>
    <t>אחוז הלקוחות שמשלם באשראי</t>
  </si>
  <si>
    <t>אחוז הספקים שמשולם באשראי</t>
  </si>
  <si>
    <t>עלות המכר - פחת - הזנת הוצאה</t>
  </si>
  <si>
    <t>עלות המכר - פחת - משוכלל</t>
  </si>
  <si>
    <t>הנהלה וכלליות - פחת - הזנת הוצאה</t>
  </si>
  <si>
    <t>הנהלה וכלליות - פחת - משוכלל</t>
  </si>
  <si>
    <t>מכירה ושיווק - פחת- הזנת הוצאה</t>
  </si>
  <si>
    <t>מכירה ושיווק - פחת- משוכלל</t>
  </si>
  <si>
    <t>הוצאות אחרות - פחת - הזנת הוצאה</t>
  </si>
  <si>
    <t>הוצאות אחרות - פחת - משוכלל</t>
  </si>
  <si>
    <t>השקעות הוניות מושפעות מחודש פתיחת מלון, נטילת הלוואה לא.</t>
  </si>
  <si>
    <t>הכנסות לרווח והפסד ותזרים</t>
  </si>
  <si>
    <t>הכנסות לבדיקת כדאיות</t>
  </si>
  <si>
    <t>לקוחות - עבור רווח והפסד ותזרים</t>
  </si>
  <si>
    <t>ספקים - עבור רווח והפסד ותזרים</t>
  </si>
  <si>
    <t>לקוחות - עבור בדיקת כדאיות</t>
  </si>
  <si>
    <t>סה"כ הוצאות לספקיים - לא מושפע מפתיחת מלון</t>
  </si>
  <si>
    <t>סה"כ הוצאות פחת בהתאם לפתיחת המלון</t>
  </si>
  <si>
    <t>סה"כ הוצאות פחת ללא תלות בפתיחת המלון</t>
  </si>
  <si>
    <t>סה"כ הכנסות</t>
  </si>
  <si>
    <t>הוצאות לבדיקת כדאיות</t>
  </si>
  <si>
    <t>סה"כ הוצאות אם המלון פתוח</t>
  </si>
  <si>
    <t>האם המודל בסיסי/משוכלל?</t>
  </si>
  <si>
    <t>מימון מגיליון הלוואה והוצאה מימון</t>
  </si>
  <si>
    <t>סה"כ הוצאות לבדיקת כדאיות</t>
  </si>
  <si>
    <t>הוצאות קבועות בלתי נמנעות</t>
  </si>
  <si>
    <t>הוצאות משתנות בלתי נמנעות</t>
  </si>
  <si>
    <t>הוצאות בלתי נמנעות:</t>
  </si>
  <si>
    <t>האם מופיע בהוצאות הבלתי נמנעות:</t>
  </si>
  <si>
    <t>סה"כ הוצאות בלתי נמנעות לאחר תיאומים בגין כלל מרכיבי המודל</t>
  </si>
  <si>
    <t>הלוואה ומימון - שפיצר</t>
  </si>
  <si>
    <t>הקלה תפעולית</t>
  </si>
  <si>
    <t>סה"כ הוצאות פחת</t>
  </si>
  <si>
    <t>תיאומיפ בגין פעילות השקעה</t>
  </si>
  <si>
    <t>הוצאות תזרימיות בלתי נמנעות</t>
  </si>
  <si>
    <t>רווח נקי לפני מס הכנסה</t>
  </si>
  <si>
    <t>הפסד מצטבר עד לחודש הפתיחה</t>
  </si>
  <si>
    <t>סה"כ הוצאות בלתי נמנעות תזרימיות</t>
  </si>
  <si>
    <t>תזרים ללא מס הכנסה</t>
  </si>
  <si>
    <t>השקעות על פי תכנון</t>
  </si>
  <si>
    <t>סימון חודשים</t>
  </si>
  <si>
    <t>השקעות על פי פתיחת המלון</t>
  </si>
  <si>
    <t>הוצאות פחת מותאמות פתיחת מלון</t>
  </si>
  <si>
    <t>הוצאות פחת ממאי 2020 ללא תלות בפתיחת המלון</t>
  </si>
  <si>
    <t>הוצאות פחת ממאי 2020 עם תלות בפתיחת המלון</t>
  </si>
  <si>
    <t>הנחות נוספות - אופציונאלי לדיוק התוצאות</t>
  </si>
  <si>
    <r>
      <t xml:space="preserve">הכנסות מלינות בחודש עם תפוסה </t>
    </r>
    <r>
      <rPr>
        <b/>
        <u/>
        <sz val="11"/>
        <color theme="1"/>
        <rFont val="David"/>
        <family val="2"/>
        <charset val="177"/>
      </rPr>
      <t>מלאה</t>
    </r>
  </si>
  <si>
    <r>
      <t xml:space="preserve">הכנסות </t>
    </r>
    <r>
      <rPr>
        <b/>
        <sz val="11"/>
        <color theme="1"/>
        <rFont val="David"/>
        <family val="2"/>
        <charset val="177"/>
      </rPr>
      <t>אחרות</t>
    </r>
    <r>
      <rPr>
        <sz val="11"/>
        <color theme="1"/>
        <rFont val="David"/>
        <family val="2"/>
        <charset val="177"/>
      </rPr>
      <t xml:space="preserve"> (לדוגמא - מזון ומשקאות) </t>
    </r>
  </si>
  <si>
    <t>בחודש עם תפוסה מלאה</t>
  </si>
  <si>
    <t>הכנסות צפוית מלינה</t>
  </si>
  <si>
    <t>הכנסות אחרות</t>
  </si>
  <si>
    <t>הכנסות צפויות מלינה</t>
  </si>
  <si>
    <t>הכנסות מלינה:</t>
  </si>
  <si>
    <t>הכנסות אחרות:</t>
  </si>
  <si>
    <t>סה"כ הכנסות מלינה טרם הנחת מחירים</t>
  </si>
  <si>
    <t>סה"כ הכנסות מלינה לאחר הנחת מחירים</t>
  </si>
  <si>
    <t>להכנסת הנתונים יש ללחוץ על סימן הפלוס +</t>
  </si>
  <si>
    <t>הכנסות אחרות יכולות לעלות על 100% עקב הורדת מחירי לינה.</t>
  </si>
  <si>
    <t>אחוז מתוך הכנסות</t>
  </si>
  <si>
    <t>יתרה לסוף החודש</t>
  </si>
  <si>
    <t>החזרי קרן בגין הלוואה בכירה</t>
  </si>
  <si>
    <t>החזרי קרן בגין הלוואת המודל</t>
  </si>
  <si>
    <t>שכר בלתי נמנע</t>
  </si>
  <si>
    <t>אבטחה</t>
  </si>
  <si>
    <t>תחזוקת מערכות</t>
  </si>
  <si>
    <t>טרום</t>
  </si>
  <si>
    <t>YEAR</t>
  </si>
  <si>
    <t>MONTH</t>
  </si>
  <si>
    <t>DAY</t>
  </si>
  <si>
    <t>חודש לתחילת המודל</t>
  </si>
  <si>
    <t>יתרת הלקוחות תפרע ב-2 מנות שוות החודשיים העוקבים לפתיחת פעילות</t>
  </si>
  <si>
    <t>יתרת הספקים תפרע ב-2 מנות שוות החודשיים העוקבים לפתיחת פעילות</t>
  </si>
  <si>
    <t>ינואר</t>
  </si>
  <si>
    <t>פברואר</t>
  </si>
  <si>
    <t>מרץ</t>
  </si>
  <si>
    <t>אפריל</t>
  </si>
  <si>
    <t>מאי</t>
  </si>
  <si>
    <t>יוני</t>
  </si>
  <si>
    <t>יולי</t>
  </si>
  <si>
    <t>אוגוסט</t>
  </si>
  <si>
    <t>ספטמבר</t>
  </si>
  <si>
    <t>אוקטובר</t>
  </si>
  <si>
    <t>נובמבר</t>
  </si>
  <si>
    <t>דצמבר</t>
  </si>
  <si>
    <t>תזרים מזומנים דינמי</t>
  </si>
  <si>
    <t>תזרים מזומנים</t>
  </si>
  <si>
    <t>שכר (מעבר לשכר בלתי נמנע)</t>
  </si>
  <si>
    <t>למודל יש 3 רמות של דיוק נתונים:</t>
  </si>
  <si>
    <t>רמה 1 - הנחות הכרחיות בכדי שהמודל יעבוד, לאחר הזנת הנתונים המודל ישקף את התחזיות הצפויות על פי הנתונים. חשוב לציין כי אם משתמש בוחר להזין רק את הנחות רמה 1 המודל יהיה על בסיס מזומן.</t>
  </si>
  <si>
    <t>רמה 2 - הנחות תזרימיות ויתרות הון חוזר (אופציונאלי). לאחר הזנת הנתונים הללו המודל ישקף את התחזיות הצפויות בהתחשב בהון חוזר.</t>
  </si>
  <si>
    <t xml:space="preserve">רמה 3 - הנחות נוספות (אופציונאלי לדיוק התוצאות). מילוי ההנחות הנ"ל ידייקו את התחזיות של המודל, במקרה וקיימת הנחה ברמה זו אשר משקפת את אותו הפרמטר שהוזן ברמה 1, המודל ידע להתחשב בנתון המדויק יותר, קרי רמה 3 (דוגמא - משתמש שהזין הכנסות ברמה 1 ובחר לדייק אותן עם ההנחות של של רמה 3, המודל יבחר את ההכנסות לפי ההנחות שהוזנו ברמה 3. </t>
  </si>
  <si>
    <t>רמה 1 - הנחות הכרחיות:</t>
  </si>
  <si>
    <t>רמה 2 - הנחות תזרימיות ויתרות הון חוזר (אופציונאלי)</t>
  </si>
  <si>
    <t>חוב פיננסי (טרם תחילת המודל):</t>
  </si>
  <si>
    <t>לקוחות:</t>
  </si>
  <si>
    <t>ספקים:</t>
  </si>
  <si>
    <t>רמה 3 - הנחות נוספות (אופציונאלי לדיוק התוצאות)</t>
  </si>
  <si>
    <t>בכדי לפתוח את הגישה להנחות הנוספות יש ללחוץ על הפלוס שמצוי בצד ימין לכותרת.</t>
  </si>
  <si>
    <t>לתחילת העמוד</t>
  </si>
  <si>
    <t>נטילת הלוואה:</t>
  </si>
  <si>
    <t>פחת בגין השקעות שהושקעו במלון טרם המודל:</t>
  </si>
  <si>
    <t>כמו כן, ניתן לראות את פילוח ההוצאות של העסק - שימ/י לב שזה סך ההוצאה ל-13 חודשים מחודש תחילת המודל.</t>
  </si>
  <si>
    <t>:Dashboard</t>
  </si>
  <si>
    <t>תזרים:</t>
  </si>
  <si>
    <t>רווח והפסד:</t>
  </si>
  <si>
    <t>לאחר הזנת כל ההנחות, הגיע השלב לראות את התוצאות - יש לבחור בגיליון "רווח והפסד".</t>
  </si>
  <si>
    <t>בגיליון זה ניתן לראות את דוח רווח והפסד ודוחות גיול לקוחות.</t>
  </si>
  <si>
    <t>לאחר הזנת כל ההנחות, הגיע השלב לראות את התוצאות - יש לבחור בגיליון "תזרים".</t>
  </si>
  <si>
    <t>בגיליון זה ניתן לראות את דוח התזרים ואת יתרות המזומנים.</t>
  </si>
  <si>
    <t>כמו כן, ניתן להשתמש בתזרים דינמי ולבחור אילו חודשים תרצה לסכום ולראות את התזרים רק בגין.</t>
  </si>
  <si>
    <t>כמו כן, ניתן להשתמש ברווח והפסד דינמי ולבחור אילו חודשים תרצה לסכום ולראות את הרווח והפסד רק בגין.</t>
  </si>
  <si>
    <t>הפרמטר שקובע כמה התפוסה תעלה בעקבות הורדת המחירים הינו הפרמטר שהוכנס בגיליון "הנחות".</t>
  </si>
  <si>
    <t>חשוב לציין כי סכום זה לא ישפיע על פילוח ההוצאות של המודל והן יישארו בעינן.</t>
  </si>
  <si>
    <t>תכלית מודל זה הינה לסייע למנהל המלון לקבל תמונה אינדיקטיבית של המצב הפיננסי - תזרימי שלהם על רקע משבר הקורונה וחזרת הענף לפעילות.</t>
  </si>
  <si>
    <t>מדריך זה יוביל אתכם שלב אחר שלב כיצד יש להשתמש במודל.</t>
  </si>
  <si>
    <t>בכדי שנוכל לנתח את מצבו התזרימי של המלון שלך, עליך להזין מספר נתונים. יש לעקוב אחר ההוראות במדויק בכדי שהמודל יבין את שנאמר לו.</t>
  </si>
  <si>
    <t>בגיליון זה ניתן לראות את ההכנסות, ההוצאות, התזרים ויתרות המזומנים של המלון.</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</si>
</sst>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_ * #,##0_ ;_ * \-#,##0_ ;_ * &quot;-&quot;??_ ;_ @_ "/>
    <numFmt numFmtId="167" formatCode="_(* #,##0_);_(* \(#,##0\);_(* &quot;-&quot;??_);_(@_)"/>
    <numFmt numFmtId="168" formatCode="0.000%"/>
  </numFmts>
  <fonts count="41" x14ac:knownFonts="1">
    <font>
      <sz val="11"/>
      <color theme="1"/>
      <name val="Calibri"/>
      <family val="2"/>
      <charset val="177"/>
      <scheme val="minor"/>
    </font>
    <font>
      <sz val="11"/>
      <color theme="1"/>
      <name val="Calibri"/>
      <family val="2"/>
      <charset val="177"/>
      <scheme val="minor"/>
    </font>
    <font>
      <sz val="10"/>
      <name val="Arial"/>
      <family val="2"/>
    </font>
    <font>
      <b/>
      <u/>
      <sz val="11"/>
      <color theme="1"/>
      <name val="Calibri"/>
      <family val="2"/>
      <scheme val="minor"/>
    </font>
    <font>
      <b/>
      <sz val="11"/>
      <color theme="1"/>
      <name val="Calibri"/>
      <family val="2"/>
      <scheme val="minor"/>
    </font>
    <font>
      <sz val="11"/>
      <color theme="1"/>
      <name val="David"/>
      <family val="2"/>
      <charset val="177"/>
    </font>
    <font>
      <b/>
      <sz val="11"/>
      <color theme="1"/>
      <name val="David"/>
      <family val="2"/>
      <charset val="177"/>
    </font>
    <font>
      <b/>
      <sz val="14"/>
      <color theme="1"/>
      <name val="David"/>
      <family val="2"/>
      <charset val="177"/>
    </font>
    <font>
      <b/>
      <u/>
      <sz val="11"/>
      <color theme="1"/>
      <name val="David"/>
      <family val="2"/>
      <charset val="177"/>
    </font>
    <font>
      <sz val="12"/>
      <color theme="1"/>
      <name val="David"/>
      <family val="2"/>
      <charset val="177"/>
    </font>
    <font>
      <sz val="12"/>
      <color rgb="FFFFFFFF"/>
      <name val="David"/>
      <family val="2"/>
      <charset val="177"/>
    </font>
    <font>
      <b/>
      <sz val="12"/>
      <color theme="1"/>
      <name val="David"/>
      <family val="2"/>
      <charset val="177"/>
    </font>
    <font>
      <b/>
      <u/>
      <sz val="12"/>
      <color theme="1"/>
      <name val="David"/>
      <family val="2"/>
      <charset val="177"/>
    </font>
    <font>
      <b/>
      <sz val="11"/>
      <color theme="1"/>
      <name val="Calibri"/>
      <family val="2"/>
      <charset val="177"/>
      <scheme val="minor"/>
    </font>
    <font>
      <b/>
      <u/>
      <sz val="14"/>
      <name val="David"/>
      <family val="2"/>
      <charset val="177"/>
    </font>
    <font>
      <sz val="18"/>
      <color theme="0"/>
      <name val="David"/>
      <family val="2"/>
      <charset val="177"/>
    </font>
    <font>
      <sz val="11"/>
      <color rgb="FFFFFFFF"/>
      <name val="Calibri"/>
      <family val="2"/>
      <charset val="177"/>
      <scheme val="minor"/>
    </font>
    <font>
      <sz val="12"/>
      <name val="David"/>
      <family val="2"/>
      <charset val="177"/>
    </font>
    <font>
      <i/>
      <sz val="11"/>
      <color theme="1"/>
      <name val="David"/>
      <family val="2"/>
      <charset val="177"/>
    </font>
    <font>
      <b/>
      <u/>
      <sz val="20"/>
      <color theme="1"/>
      <name val="David"/>
      <family val="2"/>
      <charset val="177"/>
    </font>
    <font>
      <b/>
      <u/>
      <sz val="11"/>
      <color theme="0"/>
      <name val="David"/>
      <family val="2"/>
      <charset val="177"/>
    </font>
    <font>
      <sz val="11"/>
      <color theme="0"/>
      <name val="David"/>
      <family val="2"/>
      <charset val="177"/>
    </font>
    <font>
      <b/>
      <sz val="14"/>
      <color rgb="FF333333"/>
      <name val="Arial"/>
      <family val="2"/>
    </font>
    <font>
      <b/>
      <sz val="14"/>
      <color rgb="FFFF0000"/>
      <name val="David"/>
      <family val="2"/>
      <charset val="177"/>
    </font>
    <font>
      <b/>
      <i/>
      <sz val="11"/>
      <color theme="1"/>
      <name val="Calibri"/>
      <family val="2"/>
      <scheme val="minor"/>
    </font>
    <font>
      <sz val="10"/>
      <color rgb="FFFFFFFF"/>
      <name val="David"/>
      <family val="2"/>
      <charset val="177"/>
    </font>
    <font>
      <sz val="14"/>
      <color theme="1"/>
      <name val="David"/>
      <family val="2"/>
      <charset val="177"/>
    </font>
    <font>
      <b/>
      <sz val="12"/>
      <name val="David"/>
      <family val="2"/>
      <charset val="177"/>
    </font>
    <font>
      <b/>
      <u val="singleAccounting"/>
      <sz val="11"/>
      <color theme="1"/>
      <name val="Calibri"/>
      <family val="2"/>
      <charset val="177"/>
      <scheme val="minor"/>
    </font>
    <font>
      <sz val="20"/>
      <color rgb="FFFFFFFF"/>
      <name val="David"/>
      <family val="2"/>
      <charset val="177"/>
    </font>
    <font>
      <sz val="11"/>
      <color theme="1"/>
      <name val="Calibri"/>
      <family val="2"/>
      <scheme val="minor"/>
    </font>
    <font>
      <b/>
      <u/>
      <sz val="18"/>
      <color theme="1"/>
      <name val="David"/>
      <family val="2"/>
      <charset val="177"/>
    </font>
    <font>
      <sz val="11"/>
      <color rgb="FFFF0000"/>
      <name val="David"/>
      <family val="2"/>
      <charset val="177"/>
    </font>
    <font>
      <sz val="11"/>
      <color rgb="FF0070C0"/>
      <name val="David"/>
      <family val="2"/>
      <charset val="177"/>
    </font>
    <font>
      <i/>
      <sz val="11"/>
      <color theme="4" tint="-0.249977111117893"/>
      <name val="Calibri"/>
      <family val="2"/>
      <scheme val="minor"/>
    </font>
    <font>
      <b/>
      <sz val="11"/>
      <name val="David"/>
      <family val="2"/>
      <charset val="177"/>
    </font>
    <font>
      <sz val="11"/>
      <color rgb="FFFF0000"/>
      <name val="Calibri"/>
      <family val="2"/>
      <charset val="177"/>
      <scheme val="minor"/>
    </font>
    <font>
      <b/>
      <u/>
      <sz val="14"/>
      <color theme="1"/>
      <name val="David"/>
      <family val="2"/>
      <charset val="177"/>
    </font>
    <font>
      <sz val="11"/>
      <color rgb="FFFFFFFF"/>
      <name val="David"/>
      <family val="2"/>
      <charset val="177"/>
    </font>
    <font>
      <b/>
      <u/>
      <sz val="14"/>
      <color rgb="FFFFFFFF"/>
      <name val="David"/>
      <family val="2"/>
      <charset val="177"/>
    </font>
    <font>
      <u/>
      <sz val="11"/>
      <color theme="10"/>
      <name val="Calibri"/>
      <family val="2"/>
      <charset val="177"/>
      <scheme val="minor"/>
    </font>
  </fonts>
  <fills count="9">
    <fill>
      <patternFill patternType="none"/>
    </fill>
    <fill>
      <patternFill patternType="gray125"/>
    </fill>
    <fill>
      <patternFill patternType="solid">
        <fgColor rgb="FF005EB8"/>
        <bgColor indexed="64"/>
      </patternFill>
    </fill>
    <fill>
      <patternFill patternType="solid">
        <fgColor rgb="FF00338D"/>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s>
  <borders count="26">
    <border>
      <left/>
      <right/>
      <top/>
      <bottom/>
      <diagonal/>
    </border>
    <border>
      <left style="medium">
        <color indexed="64"/>
      </left>
      <right/>
      <top/>
      <bottom/>
      <diagonal/>
    </border>
    <border>
      <left style="thick">
        <color indexed="64"/>
      </left>
      <right/>
      <top/>
      <bottom/>
      <diagonal/>
    </border>
    <border>
      <left/>
      <right/>
      <top/>
      <bottom style="medium">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style="thick">
        <color indexed="64"/>
      </bottom>
      <diagonal/>
    </border>
    <border>
      <left/>
      <right style="thick">
        <color indexed="64"/>
      </right>
      <top/>
      <bottom/>
      <diagonal/>
    </border>
    <border>
      <left style="mediumDashed">
        <color indexed="64"/>
      </left>
      <right style="medium">
        <color indexed="64"/>
      </right>
      <top style="medium">
        <color indexed="64"/>
      </top>
      <bottom/>
      <diagonal/>
    </border>
    <border>
      <left style="mediumDashed">
        <color indexed="64"/>
      </left>
      <right style="medium">
        <color indexed="64"/>
      </right>
      <top/>
      <bottom/>
      <diagonal/>
    </border>
    <border>
      <left style="mediumDashed">
        <color indexed="64"/>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mediumDashed">
        <color indexed="64"/>
      </right>
      <top style="thin">
        <color indexed="64"/>
      </top>
      <bottom/>
      <diagonal/>
    </border>
    <border>
      <left style="mediumDashed">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style="medium">
        <color indexed="64"/>
      </right>
      <top style="thin">
        <color indexed="64"/>
      </top>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40" fillId="0" borderId="0" applyNumberFormat="0" applyFill="0" applyBorder="0" applyAlignment="0" applyProtection="0"/>
  </cellStyleXfs>
  <cellXfs count="307">
    <xf numFmtId="0" fontId="0" fillId="0" borderId="0" xfId="0"/>
    <xf numFmtId="0" fontId="0" fillId="0" borderId="0" xfId="0" applyBorder="1"/>
    <xf numFmtId="0" fontId="0" fillId="0" borderId="3" xfId="0" applyBorder="1"/>
    <xf numFmtId="0" fontId="3" fillId="0" borderId="0" xfId="0" applyFont="1"/>
    <xf numFmtId="0" fontId="5" fillId="0" borderId="0" xfId="0" applyFont="1" applyAlignment="1">
      <alignment horizontal="center"/>
    </xf>
    <xf numFmtId="0" fontId="5" fillId="2" borderId="0" xfId="0" applyFont="1" applyFill="1" applyAlignment="1">
      <alignment horizontal="center"/>
    </xf>
    <xf numFmtId="0" fontId="5" fillId="0" borderId="0" xfId="0" applyFont="1" applyAlignment="1">
      <alignment horizontal="right"/>
    </xf>
    <xf numFmtId="0" fontId="0" fillId="0" borderId="0" xfId="0"/>
    <xf numFmtId="17" fontId="10" fillId="3" borderId="9" xfId="0" applyNumberFormat="1" applyFont="1" applyFill="1" applyBorder="1" applyAlignment="1">
      <alignment horizontal="center"/>
    </xf>
    <xf numFmtId="0" fontId="9" fillId="0" borderId="1" xfId="0" applyFont="1" applyBorder="1"/>
    <xf numFmtId="0" fontId="0" fillId="0" borderId="1" xfId="0" applyBorder="1"/>
    <xf numFmtId="0" fontId="0" fillId="0" borderId="12" xfId="0" applyBorder="1"/>
    <xf numFmtId="17" fontId="10" fillId="3" borderId="11" xfId="0" applyNumberFormat="1" applyFont="1" applyFill="1" applyBorder="1" applyAlignment="1">
      <alignment horizontal="center"/>
    </xf>
    <xf numFmtId="0" fontId="14" fillId="0" borderId="0" xfId="0" applyFont="1" applyFill="1" applyBorder="1" applyAlignment="1">
      <alignment horizontal="right" readingOrder="2"/>
    </xf>
    <xf numFmtId="0" fontId="5" fillId="0" borderId="0" xfId="0" applyFont="1"/>
    <xf numFmtId="0" fontId="5" fillId="0" borderId="0" xfId="0" applyFont="1" applyAlignment="1">
      <alignment horizontal="right" wrapText="1"/>
    </xf>
    <xf numFmtId="0" fontId="15" fillId="0" borderId="0" xfId="0" applyFont="1"/>
    <xf numFmtId="9" fontId="11" fillId="0" borderId="1" xfId="0" applyNumberFormat="1" applyFont="1" applyBorder="1"/>
    <xf numFmtId="166" fontId="0" fillId="0" borderId="0" xfId="0" applyNumberFormat="1" applyBorder="1"/>
    <xf numFmtId="166" fontId="13" fillId="0" borderId="0" xfId="0" applyNumberFormat="1" applyFont="1" applyBorder="1"/>
    <xf numFmtId="0" fontId="10" fillId="3" borderId="16" xfId="0" applyNumberFormat="1" applyFont="1" applyFill="1" applyBorder="1" applyAlignment="1">
      <alignment horizontal="center"/>
    </xf>
    <xf numFmtId="166" fontId="4" fillId="0" borderId="17" xfId="0" applyNumberFormat="1" applyFont="1" applyBorder="1"/>
    <xf numFmtId="17" fontId="10" fillId="3" borderId="11" xfId="0" applyNumberFormat="1" applyFont="1" applyFill="1" applyBorder="1" applyAlignment="1">
      <alignment horizontal="right"/>
    </xf>
    <xf numFmtId="0" fontId="12" fillId="0" borderId="1" xfId="0" applyFont="1" applyBorder="1"/>
    <xf numFmtId="0" fontId="11" fillId="0" borderId="1" xfId="0" applyFont="1" applyBorder="1"/>
    <xf numFmtId="0" fontId="0" fillId="0" borderId="10" xfId="0" applyBorder="1"/>
    <xf numFmtId="0" fontId="0" fillId="0" borderId="13" xfId="0" applyBorder="1"/>
    <xf numFmtId="0" fontId="16" fillId="3" borderId="1" xfId="0" applyFont="1" applyFill="1" applyBorder="1"/>
    <xf numFmtId="0" fontId="16" fillId="3" borderId="0" xfId="0" applyFont="1" applyFill="1" applyBorder="1"/>
    <xf numFmtId="0" fontId="16" fillId="3" borderId="10" xfId="0" applyFont="1" applyFill="1" applyBorder="1"/>
    <xf numFmtId="10" fontId="0" fillId="0" borderId="10" xfId="0" applyNumberFormat="1" applyBorder="1"/>
    <xf numFmtId="0" fontId="8" fillId="0" borderId="0" xfId="0" applyFont="1" applyAlignment="1">
      <alignment horizontal="right" wrapText="1"/>
    </xf>
    <xf numFmtId="17" fontId="17" fillId="0" borderId="0" xfId="0" applyNumberFormat="1" applyFont="1" applyFill="1" applyBorder="1" applyAlignment="1">
      <alignment horizontal="center"/>
    </xf>
    <xf numFmtId="0" fontId="5" fillId="0" borderId="0" xfId="1" applyNumberFormat="1" applyFont="1"/>
    <xf numFmtId="17" fontId="10" fillId="3" borderId="8" xfId="0" applyNumberFormat="1" applyFont="1" applyFill="1" applyBorder="1" applyAlignment="1">
      <alignment horizontal="center"/>
    </xf>
    <xf numFmtId="165" fontId="0" fillId="0" borderId="0" xfId="0" applyNumberFormat="1" applyBorder="1"/>
    <xf numFmtId="10" fontId="0" fillId="0" borderId="0" xfId="0" applyNumberFormat="1" applyBorder="1"/>
    <xf numFmtId="166" fontId="13" fillId="0" borderId="10" xfId="0" applyNumberFormat="1" applyFont="1" applyBorder="1"/>
    <xf numFmtId="165" fontId="0" fillId="0" borderId="0" xfId="2" applyNumberFormat="1" applyFont="1" applyBorder="1"/>
    <xf numFmtId="17" fontId="10" fillId="3" borderId="8" xfId="0" applyNumberFormat="1" applyFont="1" applyFill="1" applyBorder="1" applyAlignment="1">
      <alignment horizontal="right"/>
    </xf>
    <xf numFmtId="0" fontId="13" fillId="0" borderId="0" xfId="0" applyFont="1" applyBorder="1"/>
    <xf numFmtId="166" fontId="4" fillId="0" borderId="18" xfId="0" applyNumberFormat="1" applyFont="1" applyBorder="1"/>
    <xf numFmtId="0" fontId="5" fillId="5" borderId="11" xfId="0" applyFont="1" applyFill="1" applyBorder="1" applyAlignment="1">
      <alignment horizontal="right"/>
    </xf>
    <xf numFmtId="0" fontId="5" fillId="5" borderId="8" xfId="0" applyFont="1" applyFill="1" applyBorder="1" applyAlignment="1">
      <alignment horizontal="right"/>
    </xf>
    <xf numFmtId="0" fontId="5" fillId="5" borderId="9" xfId="0" applyFont="1" applyFill="1" applyBorder="1" applyAlignment="1">
      <alignment horizontal="right"/>
    </xf>
    <xf numFmtId="0" fontId="5" fillId="5" borderId="1" xfId="0" applyFont="1" applyFill="1" applyBorder="1" applyAlignment="1">
      <alignment horizontal="right"/>
    </xf>
    <xf numFmtId="0" fontId="5" fillId="5" borderId="0" xfId="0" applyFont="1" applyFill="1" applyBorder="1" applyAlignment="1">
      <alignment horizontal="right"/>
    </xf>
    <xf numFmtId="0" fontId="5" fillId="5" borderId="10" xfId="0" applyFont="1" applyFill="1" applyBorder="1" applyAlignment="1">
      <alignment horizontal="right"/>
    </xf>
    <xf numFmtId="0" fontId="19" fillId="5" borderId="1" xfId="0" applyFont="1" applyFill="1" applyBorder="1" applyAlignment="1">
      <alignment horizontal="right"/>
    </xf>
    <xf numFmtId="0" fontId="19" fillId="5" borderId="0" xfId="0" applyFont="1" applyFill="1" applyBorder="1" applyAlignment="1">
      <alignment horizontal="right"/>
    </xf>
    <xf numFmtId="0" fontId="8" fillId="5" borderId="0" xfId="0" applyFont="1" applyFill="1" applyBorder="1" applyAlignment="1">
      <alignment horizontal="right"/>
    </xf>
    <xf numFmtId="0" fontId="8" fillId="5" borderId="1" xfId="0" applyFont="1" applyFill="1" applyBorder="1" applyAlignment="1">
      <alignment horizontal="right"/>
    </xf>
    <xf numFmtId="0" fontId="5" fillId="5" borderId="12" xfId="0" applyFont="1" applyFill="1" applyBorder="1" applyAlignment="1">
      <alignment horizontal="right"/>
    </xf>
    <xf numFmtId="0" fontId="5" fillId="5" borderId="3" xfId="0" applyFont="1" applyFill="1" applyBorder="1" applyAlignment="1">
      <alignment horizontal="right"/>
    </xf>
    <xf numFmtId="0" fontId="5" fillId="5" borderId="13" xfId="0" applyFont="1" applyFill="1" applyBorder="1" applyAlignment="1">
      <alignment horizontal="right"/>
    </xf>
    <xf numFmtId="9" fontId="5" fillId="4" borderId="7" xfId="2" applyFont="1" applyFill="1" applyBorder="1" applyAlignment="1">
      <alignment horizontal="right"/>
    </xf>
    <xf numFmtId="167" fontId="5" fillId="4" borderId="7" xfId="1" applyNumberFormat="1" applyFont="1" applyFill="1" applyBorder="1" applyAlignment="1">
      <alignment horizontal="right"/>
    </xf>
    <xf numFmtId="9" fontId="13" fillId="0" borderId="0" xfId="2" applyFont="1" applyBorder="1"/>
    <xf numFmtId="167" fontId="13" fillId="0" borderId="7" xfId="1" applyNumberFormat="1" applyFont="1" applyBorder="1"/>
    <xf numFmtId="9" fontId="13" fillId="0" borderId="7" xfId="2" applyFont="1" applyBorder="1"/>
    <xf numFmtId="10" fontId="5" fillId="4" borderId="7" xfId="2" applyNumberFormat="1" applyFont="1" applyFill="1" applyBorder="1" applyAlignment="1">
      <alignment horizontal="right"/>
    </xf>
    <xf numFmtId="165" fontId="13" fillId="0" borderId="7" xfId="0" applyNumberFormat="1" applyFont="1" applyBorder="1"/>
    <xf numFmtId="9" fontId="12" fillId="0" borderId="1" xfId="0" applyNumberFormat="1" applyFont="1" applyBorder="1"/>
    <xf numFmtId="167" fontId="5" fillId="5" borderId="0" xfId="0" applyNumberFormat="1" applyFont="1" applyFill="1" applyBorder="1" applyAlignment="1">
      <alignment horizontal="right"/>
    </xf>
    <xf numFmtId="9" fontId="11" fillId="0" borderId="12" xfId="0" applyNumberFormat="1" applyFont="1" applyBorder="1"/>
    <xf numFmtId="166" fontId="13" fillId="0" borderId="6" xfId="0" applyNumberFormat="1" applyFont="1" applyBorder="1"/>
    <xf numFmtId="0" fontId="6" fillId="5" borderId="0" xfId="0" applyFont="1" applyFill="1" applyBorder="1" applyAlignment="1">
      <alignment horizontal="right"/>
    </xf>
    <xf numFmtId="0" fontId="10" fillId="3" borderId="8" xfId="0" applyFont="1" applyFill="1" applyBorder="1" applyAlignment="1">
      <alignment horizontal="center"/>
    </xf>
    <xf numFmtId="0" fontId="3" fillId="0" borderId="1" xfId="0" applyFont="1" applyBorder="1"/>
    <xf numFmtId="17" fontId="0" fillId="0" borderId="1" xfId="0" applyNumberFormat="1" applyBorder="1"/>
    <xf numFmtId="17" fontId="0" fillId="0" borderId="0" xfId="0" applyNumberFormat="1" applyBorder="1"/>
    <xf numFmtId="17" fontId="13" fillId="0" borderId="0" xfId="0" applyNumberFormat="1" applyFont="1" applyBorder="1"/>
    <xf numFmtId="9" fontId="4" fillId="0" borderId="17" xfId="2" applyFont="1" applyBorder="1"/>
    <xf numFmtId="9" fontId="0" fillId="0" borderId="3" xfId="2" applyFont="1" applyBorder="1"/>
    <xf numFmtId="0" fontId="11" fillId="0" borderId="1" xfId="0" applyFont="1" applyFill="1" applyBorder="1"/>
    <xf numFmtId="167" fontId="0" fillId="0" borderId="0" xfId="1" applyNumberFormat="1" applyFont="1" applyBorder="1"/>
    <xf numFmtId="167" fontId="0" fillId="0" borderId="3" xfId="1" applyNumberFormat="1" applyFont="1" applyBorder="1"/>
    <xf numFmtId="0" fontId="5" fillId="5" borderId="19" xfId="0" applyFont="1" applyFill="1" applyBorder="1"/>
    <xf numFmtId="0" fontId="5" fillId="5" borderId="20" xfId="0" applyFont="1" applyFill="1" applyBorder="1"/>
    <xf numFmtId="0" fontId="5" fillId="5" borderId="21" xfId="0" applyFont="1" applyFill="1" applyBorder="1"/>
    <xf numFmtId="0" fontId="5" fillId="5" borderId="2" xfId="0" applyFont="1" applyFill="1" applyBorder="1"/>
    <xf numFmtId="0" fontId="8" fillId="5" borderId="0" xfId="0" applyFont="1" applyFill="1"/>
    <xf numFmtId="0" fontId="5" fillId="5" borderId="0" xfId="0" applyFont="1" applyFill="1"/>
    <xf numFmtId="0" fontId="5" fillId="5" borderId="0" xfId="0" applyFont="1" applyFill="1" applyBorder="1"/>
    <xf numFmtId="0" fontId="5" fillId="5" borderId="15" xfId="0" applyFont="1" applyFill="1" applyBorder="1"/>
    <xf numFmtId="17" fontId="5" fillId="5" borderId="7" xfId="0" applyNumberFormat="1" applyFont="1" applyFill="1" applyBorder="1"/>
    <xf numFmtId="9" fontId="5" fillId="5" borderId="7" xfId="0" applyNumberFormat="1" applyFont="1" applyFill="1" applyBorder="1"/>
    <xf numFmtId="167" fontId="5" fillId="5" borderId="7" xfId="1" applyNumberFormat="1" applyFont="1" applyFill="1" applyBorder="1"/>
    <xf numFmtId="0" fontId="20" fillId="3" borderId="11" xfId="0" applyFont="1" applyFill="1" applyBorder="1"/>
    <xf numFmtId="0" fontId="21" fillId="3" borderId="8" xfId="0" applyFont="1" applyFill="1" applyBorder="1"/>
    <xf numFmtId="0" fontId="21" fillId="3" borderId="9" xfId="0" applyFont="1" applyFill="1" applyBorder="1"/>
    <xf numFmtId="0" fontId="21" fillId="3" borderId="1" xfId="0" applyFont="1" applyFill="1" applyBorder="1"/>
    <xf numFmtId="0" fontId="21" fillId="3" borderId="0" xfId="0" applyFont="1" applyFill="1" applyBorder="1"/>
    <xf numFmtId="167" fontId="21" fillId="3" borderId="24" xfId="1" applyNumberFormat="1" applyFont="1" applyFill="1" applyBorder="1"/>
    <xf numFmtId="0" fontId="21" fillId="3" borderId="10" xfId="0" applyFont="1" applyFill="1" applyBorder="1"/>
    <xf numFmtId="0" fontId="20" fillId="3" borderId="1" xfId="0" applyFont="1" applyFill="1" applyBorder="1"/>
    <xf numFmtId="0" fontId="21" fillId="3" borderId="12" xfId="0" applyFont="1" applyFill="1" applyBorder="1"/>
    <xf numFmtId="0" fontId="21" fillId="3" borderId="3" xfId="0" applyFont="1" applyFill="1" applyBorder="1"/>
    <xf numFmtId="0" fontId="21" fillId="3" borderId="13" xfId="0" applyFont="1" applyFill="1" applyBorder="1"/>
    <xf numFmtId="0" fontId="18" fillId="5" borderId="0" xfId="0" applyFont="1" applyFill="1" applyBorder="1" applyAlignment="1">
      <alignment horizontal="right" readingOrder="2"/>
    </xf>
    <xf numFmtId="0" fontId="5" fillId="5" borderId="14" xfId="0" applyFont="1" applyFill="1" applyBorder="1"/>
    <xf numFmtId="0" fontId="5" fillId="5" borderId="4" xfId="0" applyFont="1" applyFill="1" applyBorder="1"/>
    <xf numFmtId="0" fontId="5" fillId="5" borderId="5" xfId="0" applyFont="1" applyFill="1" applyBorder="1"/>
    <xf numFmtId="17" fontId="10" fillId="3" borderId="8" xfId="0" applyNumberFormat="1" applyFont="1" applyFill="1" applyBorder="1" applyAlignment="1">
      <alignment horizontal="left"/>
    </xf>
    <xf numFmtId="0" fontId="5" fillId="4" borderId="7" xfId="0" applyFont="1" applyFill="1" applyBorder="1" applyAlignment="1">
      <alignment horizontal="right"/>
    </xf>
    <xf numFmtId="0" fontId="22" fillId="0" borderId="0" xfId="0" applyFont="1" applyAlignment="1">
      <alignment horizontal="right" vertical="center" wrapText="1" indent="1"/>
    </xf>
    <xf numFmtId="0" fontId="23" fillId="0" borderId="0" xfId="0" applyFont="1"/>
    <xf numFmtId="0" fontId="8" fillId="0" borderId="0" xfId="0" applyFont="1"/>
    <xf numFmtId="0" fontId="7" fillId="0" borderId="0" xfId="0" applyFont="1" applyAlignment="1">
      <alignment wrapText="1"/>
    </xf>
    <xf numFmtId="0" fontId="5" fillId="6" borderId="11" xfId="0" applyFont="1" applyFill="1" applyBorder="1" applyAlignment="1">
      <alignment horizontal="right"/>
    </xf>
    <xf numFmtId="0" fontId="5" fillId="6" borderId="8" xfId="0" applyFont="1" applyFill="1" applyBorder="1" applyAlignment="1">
      <alignment horizontal="right"/>
    </xf>
    <xf numFmtId="0" fontId="5" fillId="6" borderId="9" xfId="0" applyFont="1" applyFill="1" applyBorder="1" applyAlignment="1">
      <alignment horizontal="right"/>
    </xf>
    <xf numFmtId="0" fontId="5" fillId="6" borderId="1" xfId="0" applyFont="1" applyFill="1" applyBorder="1" applyAlignment="1">
      <alignment horizontal="right"/>
    </xf>
    <xf numFmtId="0" fontId="5" fillId="6" borderId="0" xfId="0" applyFont="1" applyFill="1" applyBorder="1" applyAlignment="1">
      <alignment horizontal="right"/>
    </xf>
    <xf numFmtId="0" fontId="5" fillId="6" borderId="10" xfId="0" applyFont="1" applyFill="1" applyBorder="1" applyAlignment="1">
      <alignment horizontal="right"/>
    </xf>
    <xf numFmtId="0" fontId="5" fillId="6" borderId="12" xfId="0" applyFont="1" applyFill="1" applyBorder="1" applyAlignment="1">
      <alignment horizontal="right"/>
    </xf>
    <xf numFmtId="0" fontId="5" fillId="6" borderId="3" xfId="0" applyFont="1" applyFill="1" applyBorder="1" applyAlignment="1">
      <alignment horizontal="right"/>
    </xf>
    <xf numFmtId="0" fontId="5" fillId="6" borderId="13" xfId="0" applyFont="1" applyFill="1" applyBorder="1" applyAlignment="1">
      <alignment horizontal="right"/>
    </xf>
    <xf numFmtId="0" fontId="19" fillId="6" borderId="0" xfId="0" applyFont="1" applyFill="1" applyBorder="1" applyAlignment="1">
      <alignment horizontal="right"/>
    </xf>
    <xf numFmtId="0" fontId="5" fillId="6" borderId="0" xfId="0" applyFont="1" applyFill="1"/>
    <xf numFmtId="0" fontId="4" fillId="0" borderId="0" xfId="0" applyFont="1"/>
    <xf numFmtId="166" fontId="4" fillId="0" borderId="0" xfId="0" applyNumberFormat="1" applyFont="1" applyBorder="1"/>
    <xf numFmtId="9" fontId="4" fillId="0" borderId="7" xfId="0" applyNumberFormat="1" applyFont="1" applyBorder="1"/>
    <xf numFmtId="0" fontId="4" fillId="0" borderId="7" xfId="0" applyFont="1" applyBorder="1"/>
    <xf numFmtId="165" fontId="4" fillId="0" borderId="7" xfId="0" applyNumberFormat="1" applyFont="1" applyBorder="1"/>
    <xf numFmtId="9" fontId="24" fillId="0" borderId="0" xfId="2" applyFont="1" applyBorder="1"/>
    <xf numFmtId="9" fontId="24" fillId="0" borderId="17" xfId="2" applyFont="1" applyBorder="1"/>
    <xf numFmtId="166" fontId="13" fillId="0" borderId="0" xfId="0" applyNumberFormat="1" applyFont="1" applyBorder="1" applyAlignment="1">
      <alignment horizontal="center"/>
    </xf>
    <xf numFmtId="0" fontId="4" fillId="0" borderId="7" xfId="0" applyFont="1" applyBorder="1" applyAlignment="1">
      <alignment horizontal="center"/>
    </xf>
    <xf numFmtId="0" fontId="11" fillId="0" borderId="1" xfId="0" applyFont="1" applyBorder="1" applyAlignment="1">
      <alignment horizontal="right"/>
    </xf>
    <xf numFmtId="17" fontId="25" fillId="3" borderId="8" xfId="0" applyNumberFormat="1" applyFont="1" applyFill="1" applyBorder="1" applyAlignment="1">
      <alignment horizontal="left"/>
    </xf>
    <xf numFmtId="0" fontId="25" fillId="3" borderId="8" xfId="0" applyFont="1" applyFill="1" applyBorder="1" applyAlignment="1">
      <alignment horizontal="center"/>
    </xf>
    <xf numFmtId="0" fontId="25" fillId="3" borderId="8" xfId="0" applyFont="1" applyFill="1" applyBorder="1" applyAlignment="1">
      <alignment horizontal="right"/>
    </xf>
    <xf numFmtId="0" fontId="6" fillId="0" borderId="0" xfId="0" applyFont="1" applyBorder="1"/>
    <xf numFmtId="17" fontId="6" fillId="0" borderId="7" xfId="0" applyNumberFormat="1" applyFont="1" applyBorder="1"/>
    <xf numFmtId="17" fontId="6" fillId="0" borderId="0" xfId="0" applyNumberFormat="1" applyFont="1" applyBorder="1"/>
    <xf numFmtId="166" fontId="6" fillId="0" borderId="0" xfId="0" applyNumberFormat="1" applyFont="1" applyBorder="1"/>
    <xf numFmtId="166" fontId="6" fillId="0" borderId="17" xfId="0" applyNumberFormat="1" applyFont="1" applyBorder="1"/>
    <xf numFmtId="0" fontId="5" fillId="0" borderId="0" xfId="0" applyFont="1" applyBorder="1"/>
    <xf numFmtId="9" fontId="6" fillId="0" borderId="0" xfId="2" applyFont="1" applyBorder="1"/>
    <xf numFmtId="9" fontId="6" fillId="0" borderId="7" xfId="2" applyFont="1" applyBorder="1"/>
    <xf numFmtId="167" fontId="6" fillId="0" borderId="7" xfId="1" applyNumberFormat="1" applyFont="1" applyBorder="1"/>
    <xf numFmtId="167" fontId="6" fillId="0" borderId="7" xfId="1" applyNumberFormat="1" applyFont="1" applyBorder="1" applyAlignment="1">
      <alignment horizontal="center"/>
    </xf>
    <xf numFmtId="0" fontId="6" fillId="0" borderId="0" xfId="0" applyFont="1" applyBorder="1" applyAlignment="1">
      <alignment horizontal="center"/>
    </xf>
    <xf numFmtId="166" fontId="6" fillId="0" borderId="6" xfId="0" applyNumberFormat="1" applyFont="1" applyBorder="1"/>
    <xf numFmtId="166" fontId="6" fillId="0" borderId="22" xfId="0" applyNumberFormat="1" applyFont="1" applyBorder="1"/>
    <xf numFmtId="166" fontId="6" fillId="0" borderId="23" xfId="0" applyNumberFormat="1" applyFont="1" applyBorder="1"/>
    <xf numFmtId="0" fontId="5" fillId="0" borderId="3" xfId="0" applyFont="1" applyBorder="1"/>
    <xf numFmtId="166" fontId="6" fillId="0" borderId="3" xfId="0" applyNumberFormat="1" applyFont="1" applyBorder="1"/>
    <xf numFmtId="166" fontId="6" fillId="0" borderId="18" xfId="0" applyNumberFormat="1" applyFont="1" applyBorder="1"/>
    <xf numFmtId="0" fontId="11" fillId="0" borderId="0" xfId="0" applyFont="1" applyBorder="1"/>
    <xf numFmtId="166" fontId="6" fillId="0" borderId="0" xfId="0" applyNumberFormat="1" applyFont="1" applyBorder="1" applyAlignment="1">
      <alignment horizontal="center"/>
    </xf>
    <xf numFmtId="167" fontId="0" fillId="0" borderId="7" xfId="0" applyNumberFormat="1" applyBorder="1"/>
    <xf numFmtId="0" fontId="26" fillId="0" borderId="1" xfId="0" applyFont="1" applyBorder="1"/>
    <xf numFmtId="167" fontId="0" fillId="0" borderId="0" xfId="0" applyNumberFormat="1" applyBorder="1"/>
    <xf numFmtId="0" fontId="0" fillId="0" borderId="17" xfId="0" applyBorder="1"/>
    <xf numFmtId="0" fontId="10" fillId="3" borderId="9" xfId="0" applyNumberFormat="1" applyFont="1" applyFill="1" applyBorder="1" applyAlignment="1">
      <alignment horizontal="center"/>
    </xf>
    <xf numFmtId="167" fontId="0" fillId="0" borderId="10" xfId="0" applyNumberFormat="1" applyBorder="1" applyAlignment="1"/>
    <xf numFmtId="167" fontId="0" fillId="0" borderId="25" xfId="0" applyNumberFormat="1" applyBorder="1" applyAlignment="1"/>
    <xf numFmtId="167" fontId="0" fillId="0" borderId="0" xfId="0" applyNumberFormat="1" applyBorder="1" applyAlignment="1">
      <alignment horizontal="center"/>
    </xf>
    <xf numFmtId="167" fontId="0" fillId="0" borderId="17" xfId="0" applyNumberFormat="1" applyBorder="1" applyAlignment="1">
      <alignment horizontal="center"/>
    </xf>
    <xf numFmtId="167" fontId="0" fillId="0" borderId="6" xfId="0" applyNumberFormat="1" applyBorder="1" applyAlignment="1">
      <alignment horizontal="center"/>
    </xf>
    <xf numFmtId="167" fontId="0" fillId="0" borderId="23" xfId="0" applyNumberFormat="1" applyBorder="1" applyAlignment="1">
      <alignment horizontal="center"/>
    </xf>
    <xf numFmtId="167" fontId="6" fillId="5" borderId="0" xfId="0" applyNumberFormat="1" applyFont="1" applyFill="1" applyBorder="1" applyAlignment="1">
      <alignment horizontal="right"/>
    </xf>
    <xf numFmtId="9" fontId="0" fillId="0" borderId="17" xfId="2" applyFont="1" applyBorder="1" applyAlignment="1">
      <alignment horizontal="center"/>
    </xf>
    <xf numFmtId="0" fontId="6" fillId="6" borderId="0" xfId="0" applyFont="1" applyFill="1" applyBorder="1" applyAlignment="1">
      <alignment horizontal="right"/>
    </xf>
    <xf numFmtId="167" fontId="6" fillId="6" borderId="0" xfId="0" applyNumberFormat="1" applyFont="1" applyFill="1" applyBorder="1" applyAlignment="1">
      <alignment horizontal="right"/>
    </xf>
    <xf numFmtId="9" fontId="0" fillId="0" borderId="7" xfId="0" applyNumberFormat="1" applyBorder="1"/>
    <xf numFmtId="0" fontId="12" fillId="0" borderId="1" xfId="0" applyFont="1" applyBorder="1" applyAlignment="1">
      <alignment horizontal="right"/>
    </xf>
    <xf numFmtId="10" fontId="13" fillId="0" borderId="7" xfId="0" applyNumberFormat="1" applyFont="1" applyBorder="1"/>
    <xf numFmtId="0" fontId="13" fillId="0" borderId="7" xfId="0" applyFont="1" applyBorder="1"/>
    <xf numFmtId="14" fontId="0" fillId="0" borderId="0" xfId="0" applyNumberFormat="1"/>
    <xf numFmtId="17" fontId="27" fillId="0" borderId="0" xfId="0" applyNumberFormat="1" applyFont="1" applyFill="1" applyBorder="1" applyAlignment="1">
      <alignment horizontal="right"/>
    </xf>
    <xf numFmtId="14" fontId="27" fillId="0" borderId="0" xfId="0" applyNumberFormat="1" applyFont="1" applyFill="1" applyBorder="1" applyAlignment="1">
      <alignment horizontal="right"/>
    </xf>
    <xf numFmtId="17" fontId="27" fillId="0" borderId="1" xfId="0" applyNumberFormat="1" applyFont="1" applyFill="1" applyBorder="1" applyAlignment="1">
      <alignment horizontal="right"/>
    </xf>
    <xf numFmtId="0" fontId="12" fillId="0" borderId="0" xfId="0" applyFont="1" applyBorder="1"/>
    <xf numFmtId="0" fontId="13" fillId="0" borderId="0" xfId="0" applyFont="1" applyBorder="1" applyAlignment="1">
      <alignment horizontal="left" readingOrder="1"/>
    </xf>
    <xf numFmtId="166" fontId="13" fillId="0" borderId="0" xfId="0" applyNumberFormat="1" applyFont="1" applyBorder="1" applyAlignment="1">
      <alignment horizontal="left" readingOrder="1"/>
    </xf>
    <xf numFmtId="167" fontId="13" fillId="0" borderId="0" xfId="2" applyNumberFormat="1" applyFont="1" applyBorder="1"/>
    <xf numFmtId="0" fontId="28" fillId="0" borderId="0" xfId="0" applyFont="1" applyBorder="1" applyAlignment="1">
      <alignment horizontal="center"/>
    </xf>
    <xf numFmtId="166" fontId="28" fillId="0" borderId="0" xfId="0" applyNumberFormat="1" applyFont="1" applyBorder="1" applyAlignment="1">
      <alignment horizontal="center"/>
    </xf>
    <xf numFmtId="165" fontId="5" fillId="4" borderId="7" xfId="2" applyNumberFormat="1" applyFont="1" applyFill="1" applyBorder="1" applyAlignment="1">
      <alignment horizontal="right"/>
    </xf>
    <xf numFmtId="0" fontId="6" fillId="0" borderId="7" xfId="0" applyFont="1" applyBorder="1"/>
    <xf numFmtId="17" fontId="29" fillId="3" borderId="11" xfId="0" applyNumberFormat="1" applyFont="1" applyFill="1" applyBorder="1" applyAlignment="1">
      <alignment horizontal="right"/>
    </xf>
    <xf numFmtId="0" fontId="0" fillId="0" borderId="1" xfId="0" applyFill="1" applyBorder="1"/>
    <xf numFmtId="167" fontId="4" fillId="0" borderId="0" xfId="0" applyNumberFormat="1" applyFont="1" applyBorder="1" applyAlignment="1">
      <alignment horizontal="center"/>
    </xf>
    <xf numFmtId="167" fontId="4" fillId="0" borderId="17" xfId="0" applyNumberFormat="1" applyFont="1" applyBorder="1" applyAlignment="1">
      <alignment horizontal="center"/>
    </xf>
    <xf numFmtId="0" fontId="4" fillId="0" borderId="1" xfId="0" applyFont="1" applyFill="1" applyBorder="1"/>
    <xf numFmtId="0" fontId="3" fillId="0" borderId="1" xfId="0" applyFont="1" applyFill="1" applyBorder="1"/>
    <xf numFmtId="0" fontId="4" fillId="0" borderId="1" xfId="0" applyFont="1" applyBorder="1"/>
    <xf numFmtId="167" fontId="4" fillId="0" borderId="6" xfId="0" applyNumberFormat="1" applyFont="1" applyBorder="1" applyAlignment="1">
      <alignment horizontal="center"/>
    </xf>
    <xf numFmtId="167" fontId="4" fillId="0" borderId="23" xfId="0" applyNumberFormat="1" applyFont="1" applyBorder="1" applyAlignment="1">
      <alignment horizontal="center"/>
    </xf>
    <xf numFmtId="0" fontId="30" fillId="0" borderId="1" xfId="0" applyFont="1" applyFill="1" applyBorder="1"/>
    <xf numFmtId="167" fontId="4" fillId="0" borderId="10" xfId="0" applyNumberFormat="1" applyFont="1" applyBorder="1" applyAlignment="1">
      <alignment horizontal="center"/>
    </xf>
    <xf numFmtId="167" fontId="0" fillId="0" borderId="10" xfId="0" applyNumberFormat="1" applyBorder="1" applyAlignment="1">
      <alignment horizontal="center"/>
    </xf>
    <xf numFmtId="167" fontId="0" fillId="0" borderId="25" xfId="0" applyNumberFormat="1" applyBorder="1" applyAlignment="1">
      <alignment horizontal="center"/>
    </xf>
    <xf numFmtId="167" fontId="4" fillId="0" borderId="25" xfId="0" applyNumberFormat="1" applyFont="1" applyBorder="1" applyAlignment="1">
      <alignment horizontal="center"/>
    </xf>
    <xf numFmtId="167" fontId="0" fillId="0" borderId="13" xfId="0" applyNumberFormat="1" applyBorder="1" applyAlignment="1"/>
    <xf numFmtId="0" fontId="0" fillId="0" borderId="12" xfId="0" applyFill="1" applyBorder="1"/>
    <xf numFmtId="0" fontId="31" fillId="6" borderId="0" xfId="0" applyFont="1" applyFill="1" applyBorder="1" applyAlignment="1">
      <alignment horizontal="right"/>
    </xf>
    <xf numFmtId="0" fontId="9" fillId="0" borderId="0" xfId="0" applyFont="1"/>
    <xf numFmtId="17" fontId="11" fillId="0" borderId="0" xfId="0" applyNumberFormat="1" applyFont="1" applyBorder="1"/>
    <xf numFmtId="166" fontId="11" fillId="0" borderId="0" xfId="0" applyNumberFormat="1" applyFont="1" applyBorder="1"/>
    <xf numFmtId="166" fontId="11" fillId="0" borderId="17" xfId="0" applyNumberFormat="1" applyFont="1" applyBorder="1"/>
    <xf numFmtId="167" fontId="9" fillId="0" borderId="0" xfId="0" applyNumberFormat="1" applyFont="1"/>
    <xf numFmtId="166" fontId="9" fillId="0" borderId="0" xfId="1" applyNumberFormat="1" applyFont="1" applyAlignment="1">
      <alignment horizontal="center"/>
    </xf>
    <xf numFmtId="0" fontId="9" fillId="0" borderId="0" xfId="0" applyFont="1" applyBorder="1"/>
    <xf numFmtId="10" fontId="9" fillId="0" borderId="0" xfId="2" applyNumberFormat="1" applyFont="1" applyBorder="1"/>
    <xf numFmtId="166" fontId="9" fillId="0" borderId="0" xfId="1" applyNumberFormat="1" applyFont="1" applyBorder="1" applyAlignment="1">
      <alignment horizontal="center"/>
    </xf>
    <xf numFmtId="166" fontId="9" fillId="0" borderId="10" xfId="1" applyNumberFormat="1" applyFont="1" applyBorder="1" applyAlignment="1">
      <alignment horizontal="center"/>
    </xf>
    <xf numFmtId="166" fontId="11" fillId="0" borderId="10" xfId="0" applyNumberFormat="1" applyFont="1" applyBorder="1"/>
    <xf numFmtId="0" fontId="9" fillId="0" borderId="12" xfId="0" applyFont="1" applyBorder="1"/>
    <xf numFmtId="0" fontId="9" fillId="0" borderId="3" xfId="0" applyFont="1" applyBorder="1"/>
    <xf numFmtId="166" fontId="11" fillId="0" borderId="3" xfId="0" applyNumberFormat="1" applyFont="1" applyBorder="1"/>
    <xf numFmtId="166" fontId="11" fillId="0" borderId="13" xfId="0" applyNumberFormat="1" applyFont="1" applyBorder="1"/>
    <xf numFmtId="0" fontId="11" fillId="0" borderId="12" xfId="0" applyFont="1" applyBorder="1"/>
    <xf numFmtId="9" fontId="11" fillId="0" borderId="3" xfId="0" applyNumberFormat="1" applyFont="1" applyBorder="1"/>
    <xf numFmtId="166" fontId="9" fillId="0" borderId="3" xfId="1" applyNumberFormat="1" applyFont="1" applyBorder="1" applyAlignment="1">
      <alignment horizontal="center"/>
    </xf>
    <xf numFmtId="0" fontId="9" fillId="0" borderId="13" xfId="0" applyFont="1" applyBorder="1"/>
    <xf numFmtId="166" fontId="5" fillId="4" borderId="7" xfId="1" applyNumberFormat="1" applyFont="1" applyFill="1" applyBorder="1" applyAlignment="1">
      <alignment horizontal="right"/>
    </xf>
    <xf numFmtId="0" fontId="11" fillId="0" borderId="3" xfId="0" applyFont="1" applyBorder="1"/>
    <xf numFmtId="17" fontId="11" fillId="0" borderId="3" xfId="0" applyNumberFormat="1" applyFont="1" applyBorder="1"/>
    <xf numFmtId="166" fontId="11" fillId="0" borderId="18" xfId="0" applyNumberFormat="1" applyFont="1" applyBorder="1"/>
    <xf numFmtId="166" fontId="11" fillId="0" borderId="6" xfId="0" applyNumberFormat="1" applyFont="1" applyBorder="1"/>
    <xf numFmtId="166" fontId="11" fillId="0" borderId="23" xfId="0" applyNumberFormat="1" applyFont="1" applyBorder="1"/>
    <xf numFmtId="10" fontId="11" fillId="0" borderId="0" xfId="0" applyNumberFormat="1" applyFont="1" applyBorder="1"/>
    <xf numFmtId="17" fontId="5" fillId="7" borderId="7" xfId="0" applyNumberFormat="1" applyFont="1" applyFill="1" applyBorder="1"/>
    <xf numFmtId="168" fontId="5" fillId="4" borderId="7" xfId="2" applyNumberFormat="1" applyFont="1" applyFill="1" applyBorder="1" applyAlignment="1">
      <alignment horizontal="right"/>
    </xf>
    <xf numFmtId="0" fontId="12" fillId="0" borderId="11" xfId="0" applyFont="1" applyBorder="1"/>
    <xf numFmtId="0" fontId="12" fillId="0" borderId="8" xfId="0" applyFont="1" applyBorder="1"/>
    <xf numFmtId="0" fontId="9" fillId="0" borderId="8" xfId="0" applyFont="1" applyBorder="1"/>
    <xf numFmtId="0" fontId="9" fillId="0" borderId="9" xfId="0" applyFont="1" applyBorder="1"/>
    <xf numFmtId="0" fontId="9" fillId="0" borderId="10" xfId="0" applyFont="1" applyBorder="1"/>
    <xf numFmtId="166" fontId="11" fillId="0" borderId="0" xfId="1" applyNumberFormat="1" applyFont="1" applyFill="1" applyBorder="1"/>
    <xf numFmtId="0" fontId="11" fillId="0" borderId="10" xfId="0" applyFont="1" applyBorder="1"/>
    <xf numFmtId="17" fontId="11" fillId="0" borderId="7" xfId="0" applyNumberFormat="1" applyFont="1" applyFill="1" applyBorder="1"/>
    <xf numFmtId="14" fontId="11" fillId="0" borderId="0" xfId="0" applyNumberFormat="1" applyFont="1" applyBorder="1"/>
    <xf numFmtId="167" fontId="11" fillId="0" borderId="0" xfId="0" applyNumberFormat="1" applyFont="1" applyBorder="1"/>
    <xf numFmtId="167" fontId="11" fillId="0" borderId="3" xfId="0" applyNumberFormat="1" applyFont="1" applyBorder="1"/>
    <xf numFmtId="0" fontId="11" fillId="0" borderId="13" xfId="0" applyFont="1" applyBorder="1"/>
    <xf numFmtId="167" fontId="11" fillId="0" borderId="10" xfId="0" applyNumberFormat="1" applyFont="1" applyBorder="1"/>
    <xf numFmtId="167" fontId="11" fillId="0" borderId="13" xfId="0" applyNumberFormat="1" applyFont="1" applyBorder="1"/>
    <xf numFmtId="167" fontId="11" fillId="0" borderId="6" xfId="0" applyNumberFormat="1" applyFont="1" applyBorder="1"/>
    <xf numFmtId="167" fontId="11" fillId="0" borderId="25" xfId="0" applyNumberFormat="1" applyFont="1" applyBorder="1"/>
    <xf numFmtId="168" fontId="9" fillId="0" borderId="8" xfId="2" applyNumberFormat="1" applyFont="1" applyBorder="1"/>
    <xf numFmtId="167" fontId="9" fillId="0" borderId="8" xfId="0" applyNumberFormat="1" applyFont="1" applyBorder="1"/>
    <xf numFmtId="167" fontId="11" fillId="0" borderId="7" xfId="0" applyNumberFormat="1" applyFont="1" applyBorder="1"/>
    <xf numFmtId="166" fontId="11" fillId="0" borderId="7" xfId="1" applyNumberFormat="1" applyFont="1" applyFill="1" applyBorder="1"/>
    <xf numFmtId="168" fontId="11" fillId="0" borderId="7" xfId="2" applyNumberFormat="1" applyFont="1" applyFill="1" applyBorder="1"/>
    <xf numFmtId="0" fontId="0" fillId="0" borderId="1" xfId="0" applyBorder="1" applyAlignment="1">
      <alignment horizontal="right"/>
    </xf>
    <xf numFmtId="167" fontId="4" fillId="0" borderId="25" xfId="0" applyNumberFormat="1" applyFont="1" applyBorder="1" applyAlignment="1"/>
    <xf numFmtId="0" fontId="5" fillId="0" borderId="7" xfId="0" applyFont="1" applyBorder="1"/>
    <xf numFmtId="167" fontId="6" fillId="0" borderId="0" xfId="1" applyNumberFormat="1" applyFont="1" applyBorder="1"/>
    <xf numFmtId="167" fontId="6" fillId="0" borderId="0" xfId="1" applyNumberFormat="1" applyFont="1" applyBorder="1" applyAlignment="1">
      <alignment horizontal="center"/>
    </xf>
    <xf numFmtId="166" fontId="0" fillId="0" borderId="17" xfId="0" applyNumberFormat="1" applyBorder="1"/>
    <xf numFmtId="167" fontId="5" fillId="0" borderId="0" xfId="0" applyNumberFormat="1" applyFont="1" applyBorder="1"/>
    <xf numFmtId="0" fontId="0" fillId="0" borderId="18" xfId="0" applyBorder="1"/>
    <xf numFmtId="0" fontId="33" fillId="5" borderId="0" xfId="0" applyFont="1" applyFill="1" applyBorder="1"/>
    <xf numFmtId="17" fontId="0" fillId="0" borderId="7" xfId="0" applyNumberFormat="1" applyBorder="1"/>
    <xf numFmtId="167" fontId="0" fillId="0" borderId="0" xfId="0" applyNumberFormat="1"/>
    <xf numFmtId="167" fontId="0" fillId="0" borderId="3" xfId="0" applyNumberFormat="1" applyBorder="1" applyAlignment="1">
      <alignment horizontal="center"/>
    </xf>
    <xf numFmtId="167" fontId="4" fillId="0" borderId="13" xfId="0" applyNumberFormat="1" applyFont="1" applyBorder="1" applyAlignment="1">
      <alignment horizontal="center"/>
    </xf>
    <xf numFmtId="0" fontId="5" fillId="5" borderId="0" xfId="0" applyFont="1" applyFill="1" applyBorder="1" applyAlignment="1">
      <alignment horizontal="right" wrapText="1"/>
    </xf>
    <xf numFmtId="167" fontId="13" fillId="0" borderId="0" xfId="1" applyNumberFormat="1" applyFont="1" applyBorder="1"/>
    <xf numFmtId="17" fontId="10" fillId="3" borderId="11" xfId="0" applyNumberFormat="1" applyFont="1" applyFill="1" applyBorder="1" applyAlignment="1">
      <alignment horizontal="right" indent="1"/>
    </xf>
    <xf numFmtId="0" fontId="6" fillId="6" borderId="3" xfId="0" applyFont="1" applyFill="1" applyBorder="1" applyAlignment="1">
      <alignment horizontal="right"/>
    </xf>
    <xf numFmtId="0" fontId="6" fillId="6" borderId="12" xfId="0" applyFont="1" applyFill="1" applyBorder="1" applyAlignment="1">
      <alignment horizontal="right"/>
    </xf>
    <xf numFmtId="9" fontId="0" fillId="0" borderId="0" xfId="0" applyNumberFormat="1" applyBorder="1"/>
    <xf numFmtId="9" fontId="0" fillId="0" borderId="10" xfId="0" applyNumberFormat="1" applyBorder="1"/>
    <xf numFmtId="9" fontId="34" fillId="0" borderId="0" xfId="2" applyFont="1" applyBorder="1" applyAlignment="1">
      <alignment horizontal="right"/>
    </xf>
    <xf numFmtId="9" fontId="34" fillId="0" borderId="17" xfId="2" applyFont="1" applyBorder="1" applyAlignment="1">
      <alignment horizontal="right"/>
    </xf>
    <xf numFmtId="9" fontId="34" fillId="0" borderId="3" xfId="2" applyFont="1" applyBorder="1" applyAlignment="1">
      <alignment horizontal="right"/>
    </xf>
    <xf numFmtId="9" fontId="34" fillId="0" borderId="18" xfId="2" applyFont="1" applyBorder="1" applyAlignment="1">
      <alignment horizontal="right"/>
    </xf>
    <xf numFmtId="9" fontId="34" fillId="0" borderId="10" xfId="2" applyFont="1" applyBorder="1" applyAlignment="1">
      <alignment horizontal="right"/>
    </xf>
    <xf numFmtId="9" fontId="34" fillId="0" borderId="13" xfId="2" applyFont="1" applyBorder="1" applyAlignment="1">
      <alignment horizontal="right"/>
    </xf>
    <xf numFmtId="0" fontId="34" fillId="0" borderId="1" xfId="0" applyFont="1" applyBorder="1"/>
    <xf numFmtId="0" fontId="34" fillId="0" borderId="12" xfId="0" applyFont="1" applyBorder="1"/>
    <xf numFmtId="168" fontId="5" fillId="0" borderId="0" xfId="0" applyNumberFormat="1" applyFont="1" applyAlignment="1">
      <alignment horizontal="right"/>
    </xf>
    <xf numFmtId="9" fontId="5" fillId="5" borderId="8" xfId="0" applyNumberFormat="1" applyFont="1" applyFill="1" applyBorder="1" applyAlignment="1">
      <alignment horizontal="right"/>
    </xf>
    <xf numFmtId="167" fontId="5" fillId="5" borderId="8" xfId="0" applyNumberFormat="1" applyFont="1" applyFill="1" applyBorder="1" applyAlignment="1">
      <alignment horizontal="right"/>
    </xf>
    <xf numFmtId="165" fontId="5" fillId="5" borderId="0" xfId="2" applyNumberFormat="1" applyFont="1" applyFill="1" applyBorder="1" applyAlignment="1">
      <alignment horizontal="right"/>
    </xf>
    <xf numFmtId="165" fontId="35" fillId="5" borderId="0" xfId="0" applyNumberFormat="1" applyFont="1" applyFill="1" applyBorder="1" applyAlignment="1">
      <alignment horizontal="right"/>
    </xf>
    <xf numFmtId="0" fontId="9" fillId="0" borderId="1" xfId="0" applyFont="1" applyBorder="1" applyAlignment="1">
      <alignment horizontal="right"/>
    </xf>
    <xf numFmtId="0" fontId="13" fillId="0" borderId="0" xfId="0" applyNumberFormat="1" applyFont="1" applyBorder="1"/>
    <xf numFmtId="0" fontId="32" fillId="5" borderId="0" xfId="0" applyFont="1" applyFill="1" applyBorder="1"/>
    <xf numFmtId="0" fontId="13" fillId="0" borderId="0" xfId="2" applyNumberFormat="1" applyFont="1" applyBorder="1"/>
    <xf numFmtId="17" fontId="11" fillId="0" borderId="7" xfId="0" applyNumberFormat="1" applyFont="1" applyBorder="1"/>
    <xf numFmtId="17" fontId="13" fillId="0" borderId="7" xfId="0" applyNumberFormat="1" applyFont="1" applyBorder="1"/>
    <xf numFmtId="17" fontId="5" fillId="0" borderId="0" xfId="0" applyNumberFormat="1" applyFont="1" applyAlignment="1">
      <alignment horizontal="right"/>
    </xf>
    <xf numFmtId="17" fontId="5" fillId="0" borderId="11" xfId="0" applyNumberFormat="1" applyFont="1" applyBorder="1" applyAlignment="1">
      <alignment horizontal="right"/>
    </xf>
    <xf numFmtId="0" fontId="5" fillId="0" borderId="8" xfId="0" applyFont="1" applyBorder="1"/>
    <xf numFmtId="0" fontId="5" fillId="0" borderId="9" xfId="0" applyFont="1" applyBorder="1"/>
    <xf numFmtId="17" fontId="5" fillId="0" borderId="1" xfId="0" applyNumberFormat="1" applyFont="1" applyBorder="1" applyAlignment="1">
      <alignment horizontal="right"/>
    </xf>
    <xf numFmtId="0" fontId="5" fillId="0" borderId="10" xfId="0" applyFont="1" applyBorder="1"/>
    <xf numFmtId="17" fontId="5" fillId="0" borderId="12" xfId="0" applyNumberFormat="1" applyFont="1" applyBorder="1" applyAlignment="1">
      <alignment horizontal="right"/>
    </xf>
    <xf numFmtId="0" fontId="5" fillId="0" borderId="13" xfId="0" applyFont="1" applyBorder="1"/>
    <xf numFmtId="166" fontId="0" fillId="0" borderId="0" xfId="0" applyNumberFormat="1"/>
    <xf numFmtId="167" fontId="4" fillId="0" borderId="18" xfId="0" applyNumberFormat="1" applyFont="1" applyBorder="1" applyAlignment="1">
      <alignment horizontal="center"/>
    </xf>
    <xf numFmtId="166" fontId="36" fillId="0" borderId="0" xfId="0" applyNumberFormat="1" applyFont="1" applyBorder="1"/>
    <xf numFmtId="10" fontId="0" fillId="0" borderId="7" xfId="0" applyNumberFormat="1" applyBorder="1"/>
    <xf numFmtId="0" fontId="37" fillId="0" borderId="0" xfId="0" applyFont="1"/>
    <xf numFmtId="0" fontId="38" fillId="2" borderId="0" xfId="0" applyFont="1" applyFill="1"/>
    <xf numFmtId="0" fontId="39" fillId="2" borderId="0" xfId="0" applyFont="1" applyFill="1"/>
    <xf numFmtId="0" fontId="40" fillId="8" borderId="7" xfId="6" applyFill="1" applyBorder="1"/>
    <xf numFmtId="0" fontId="16" fillId="3" borderId="11" xfId="0" applyFont="1" applyFill="1" applyBorder="1" applyAlignment="1">
      <alignment horizontal="right"/>
    </xf>
    <xf numFmtId="0" fontId="16" fillId="3" borderId="8" xfId="0" applyFont="1" applyFill="1" applyBorder="1" applyAlignment="1">
      <alignment horizontal="right"/>
    </xf>
    <xf numFmtId="0" fontId="16" fillId="3" borderId="9" xfId="0" applyFont="1" applyFill="1" applyBorder="1" applyAlignment="1">
      <alignment horizontal="right"/>
    </xf>
  </cellXfs>
  <cellStyles count="7">
    <cellStyle name="Comma" xfId="1" builtinId="3"/>
    <cellStyle name="Hyperlink" xfId="6" builtinId="8"/>
    <cellStyle name="Normal" xfId="0" builtinId="0"/>
    <cellStyle name="Normal 101" xfId="5"/>
    <cellStyle name="Normal 2" xfId="3"/>
    <cellStyle name="Percent" xfId="2" builtinId="5"/>
    <cellStyle name="Percent 2" xfId="4"/>
  </cellStyles>
  <dxfs count="1">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he-IL"/>
              <a:t>הכנסות ואחוזי תפוסה </a:t>
            </a:r>
            <a:r>
              <a:rPr lang="he-IL" sz="1200"/>
              <a:t>(אלפי</a:t>
            </a:r>
            <a:r>
              <a:rPr lang="he-IL" sz="1200" baseline="0"/>
              <a:t> ש"ח)</a:t>
            </a:r>
            <a:endParaRPr lang="he-IL" sz="1200"/>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הכנסות</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'נתונים לגרפים'!$H$3:$T$3</c:f>
              <c:numCache>
                <c:formatCode>mmm\-yy</c:formatCode>
                <c:ptCount val="13"/>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numCache>
            </c:numRef>
          </c:cat>
          <c:val>
            <c:numRef>
              <c:f>'נתונים לגרפים'!$H$5:$T$5</c:f>
              <c:numCache>
                <c:formatCode>_ * #,##0_ ;_ * \-#,##0_ ;_ * "-"??_ ;_ @_ </c:formatCode>
                <c:ptCount val="13"/>
                <c:pt idx="0">
                  <c:v>1750</c:v>
                </c:pt>
                <c:pt idx="1">
                  <c:v>1750</c:v>
                </c:pt>
                <c:pt idx="2">
                  <c:v>1750</c:v>
                </c:pt>
                <c:pt idx="3">
                  <c:v>1750</c:v>
                </c:pt>
                <c:pt idx="4">
                  <c:v>1750</c:v>
                </c:pt>
                <c:pt idx="5">
                  <c:v>1750</c:v>
                </c:pt>
                <c:pt idx="6">
                  <c:v>2100</c:v>
                </c:pt>
                <c:pt idx="7">
                  <c:v>2450</c:v>
                </c:pt>
                <c:pt idx="8">
                  <c:v>1400</c:v>
                </c:pt>
                <c:pt idx="9">
                  <c:v>2450</c:v>
                </c:pt>
                <c:pt idx="10">
                  <c:v>2800</c:v>
                </c:pt>
                <c:pt idx="11">
                  <c:v>3150</c:v>
                </c:pt>
                <c:pt idx="12">
                  <c:v>3500</c:v>
                </c:pt>
              </c:numCache>
            </c:numRef>
          </c:val>
        </c:ser>
        <c:dLbls>
          <c:showLegendKey val="0"/>
          <c:showVal val="1"/>
          <c:showCatName val="0"/>
          <c:showSerName val="0"/>
          <c:showPercent val="0"/>
          <c:showBubbleSize val="0"/>
        </c:dLbls>
        <c:gapWidth val="100"/>
        <c:axId val="773963624"/>
        <c:axId val="773960096"/>
      </c:barChart>
      <c:lineChart>
        <c:grouping val="standard"/>
        <c:varyColors val="0"/>
        <c:ser>
          <c:idx val="1"/>
          <c:order val="1"/>
          <c:tx>
            <c:v>אחוזי תפוסה</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'נתונים לגרפים'!$H$6:$T$6</c:f>
              <c:numCache>
                <c:formatCode>0%</c:formatCode>
                <c:ptCount val="13"/>
                <c:pt idx="0">
                  <c:v>0.5</c:v>
                </c:pt>
                <c:pt idx="1">
                  <c:v>0.5</c:v>
                </c:pt>
                <c:pt idx="2">
                  <c:v>0.5</c:v>
                </c:pt>
                <c:pt idx="3">
                  <c:v>0.5</c:v>
                </c:pt>
                <c:pt idx="4">
                  <c:v>0.5</c:v>
                </c:pt>
                <c:pt idx="5">
                  <c:v>0.5</c:v>
                </c:pt>
                <c:pt idx="6">
                  <c:v>0.6</c:v>
                </c:pt>
                <c:pt idx="7">
                  <c:v>0.7</c:v>
                </c:pt>
                <c:pt idx="8">
                  <c:v>0.4</c:v>
                </c:pt>
                <c:pt idx="9">
                  <c:v>0.7</c:v>
                </c:pt>
                <c:pt idx="10">
                  <c:v>0.8</c:v>
                </c:pt>
                <c:pt idx="11">
                  <c:v>0.9</c:v>
                </c:pt>
                <c:pt idx="12">
                  <c:v>1</c:v>
                </c:pt>
              </c:numCache>
            </c:numRef>
          </c:val>
          <c:smooth val="0"/>
        </c:ser>
        <c:dLbls>
          <c:showLegendKey val="0"/>
          <c:showVal val="1"/>
          <c:showCatName val="0"/>
          <c:showSerName val="0"/>
          <c:showPercent val="0"/>
          <c:showBubbleSize val="0"/>
        </c:dLbls>
        <c:marker val="1"/>
        <c:smooth val="0"/>
        <c:axId val="773956568"/>
        <c:axId val="773958528"/>
      </c:lineChart>
      <c:dateAx>
        <c:axId val="773963624"/>
        <c:scaling>
          <c:orientation val="maxMin"/>
        </c:scaling>
        <c:delete val="0"/>
        <c:axPos val="b"/>
        <c:numFmt formatCode="mmm\-yy"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60096"/>
        <c:crosses val="autoZero"/>
        <c:auto val="1"/>
        <c:lblOffset val="100"/>
        <c:baseTimeUnit val="months"/>
      </c:dateAx>
      <c:valAx>
        <c:axId val="773960096"/>
        <c:scaling>
          <c:orientation val="minMax"/>
        </c:scaling>
        <c:delete val="0"/>
        <c:axPos val="r"/>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63624"/>
        <c:crosses val="autoZero"/>
        <c:crossBetween val="between"/>
      </c:valAx>
      <c:valAx>
        <c:axId val="773958528"/>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56568"/>
        <c:crosses val="max"/>
        <c:crossBetween val="between"/>
      </c:valAx>
      <c:catAx>
        <c:axId val="773956568"/>
        <c:scaling>
          <c:orientation val="maxMin"/>
        </c:scaling>
        <c:delete val="1"/>
        <c:axPos val="t"/>
        <c:majorTickMark val="out"/>
        <c:minorTickMark val="none"/>
        <c:tickLblPos val="nextTo"/>
        <c:crossAx val="773958528"/>
        <c:crosses val="max"/>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he-IL"/>
              <a:t>יתרות מזומנים</a:t>
            </a:r>
            <a:r>
              <a:rPr lang="he-IL" baseline="0"/>
              <a:t> לסוף החודש </a:t>
            </a:r>
            <a:r>
              <a:rPr lang="he-IL" sz="1200" baseline="0"/>
              <a:t>(אלפי ש"ח)</a:t>
            </a:r>
            <a:endParaRPr lang="he-IL" sz="1200"/>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תזרים מזומנים</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'נתונים לגרפים'!$H$15:$T$15</c:f>
              <c:numCache>
                <c:formatCode>mmm\-yy</c:formatCode>
                <c:ptCount val="13"/>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numCache>
            </c:numRef>
          </c:cat>
          <c:val>
            <c:numRef>
              <c:f>'נתונים לגרפים'!$H$17:$T$17</c:f>
              <c:numCache>
                <c:formatCode>_ * #,##0_ ;_ * \-#,##0_ ;_ * "-"??_ ;_ @_ </c:formatCode>
                <c:ptCount val="13"/>
                <c:pt idx="0">
                  <c:v>-242.02500000000001</c:v>
                </c:pt>
                <c:pt idx="1">
                  <c:v>-259.05</c:v>
                </c:pt>
                <c:pt idx="2">
                  <c:v>-427.3</c:v>
                </c:pt>
                <c:pt idx="3">
                  <c:v>-595.54999999999995</c:v>
                </c:pt>
                <c:pt idx="4">
                  <c:v>-763.8</c:v>
                </c:pt>
                <c:pt idx="5">
                  <c:v>-932.05</c:v>
                </c:pt>
                <c:pt idx="6">
                  <c:v>-1129.105</c:v>
                </c:pt>
                <c:pt idx="7">
                  <c:v>-1109.9649999999999</c:v>
                </c:pt>
                <c:pt idx="8">
                  <c:v>-829.65499999999997</c:v>
                </c:pt>
                <c:pt idx="9">
                  <c:v>-1441.0050000000001</c:v>
                </c:pt>
                <c:pt idx="10">
                  <c:v>-1135.425</c:v>
                </c:pt>
                <c:pt idx="11">
                  <c:v>-824.38499999999999</c:v>
                </c:pt>
                <c:pt idx="12">
                  <c:v>-367.39499999999998</c:v>
                </c:pt>
              </c:numCache>
            </c:numRef>
          </c:val>
        </c:ser>
        <c:dLbls>
          <c:dLblPos val="outEnd"/>
          <c:showLegendKey val="0"/>
          <c:showVal val="1"/>
          <c:showCatName val="0"/>
          <c:showSerName val="0"/>
          <c:showPercent val="0"/>
          <c:showBubbleSize val="0"/>
        </c:dLbls>
        <c:gapWidth val="100"/>
        <c:overlap val="-24"/>
        <c:axId val="773962056"/>
        <c:axId val="773964408"/>
      </c:barChart>
      <c:dateAx>
        <c:axId val="773962056"/>
        <c:scaling>
          <c:orientation val="maxMin"/>
        </c:scaling>
        <c:delete val="0"/>
        <c:axPos val="b"/>
        <c:numFmt formatCode="mmm\-yy"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64408"/>
        <c:crosses val="autoZero"/>
        <c:auto val="1"/>
        <c:lblOffset val="100"/>
        <c:baseTimeUnit val="months"/>
      </c:dateAx>
      <c:valAx>
        <c:axId val="773964408"/>
        <c:scaling>
          <c:orientation val="minMax"/>
        </c:scaling>
        <c:delete val="0"/>
        <c:axPos val="r"/>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6205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he-IL"/>
              <a:t>תזרים מזומנים </a:t>
            </a:r>
            <a:r>
              <a:rPr lang="he-IL" sz="1200"/>
              <a:t>(אלפי ש"ח)</a:t>
            </a:r>
            <a:endParaRPr lang="he-IL"/>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'נתונים לגרפים'!$H$9:$T$9</c:f>
              <c:numCache>
                <c:formatCode>mmm\-yy</c:formatCode>
                <c:ptCount val="13"/>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numCache>
            </c:numRef>
          </c:cat>
          <c:val>
            <c:numRef>
              <c:f>'נתונים לגרפים'!$H$11:$T$11</c:f>
              <c:numCache>
                <c:formatCode>_ * #,##0_ ;_ * \-#,##0_ ;_ * "-"??_ ;_ @_ </c:formatCode>
                <c:ptCount val="13"/>
                <c:pt idx="0">
                  <c:v>-1242.0250000000001</c:v>
                </c:pt>
                <c:pt idx="1">
                  <c:v>-17.024999999999999</c:v>
                </c:pt>
                <c:pt idx="2">
                  <c:v>-168.25</c:v>
                </c:pt>
                <c:pt idx="3">
                  <c:v>-168.25</c:v>
                </c:pt>
                <c:pt idx="4">
                  <c:v>-168.25</c:v>
                </c:pt>
                <c:pt idx="5">
                  <c:v>-168.25</c:v>
                </c:pt>
                <c:pt idx="6">
                  <c:v>-197.05500000000001</c:v>
                </c:pt>
                <c:pt idx="7">
                  <c:v>19.14</c:v>
                </c:pt>
                <c:pt idx="8">
                  <c:v>280.31</c:v>
                </c:pt>
                <c:pt idx="9">
                  <c:v>-611.35</c:v>
                </c:pt>
                <c:pt idx="10">
                  <c:v>305.58</c:v>
                </c:pt>
                <c:pt idx="11">
                  <c:v>311.04000000000002</c:v>
                </c:pt>
                <c:pt idx="12">
                  <c:v>456.99</c:v>
                </c:pt>
              </c:numCache>
            </c:numRef>
          </c:val>
        </c:ser>
        <c:dLbls>
          <c:dLblPos val="outEnd"/>
          <c:showLegendKey val="0"/>
          <c:showVal val="1"/>
          <c:showCatName val="0"/>
          <c:showSerName val="0"/>
          <c:showPercent val="0"/>
          <c:showBubbleSize val="0"/>
        </c:dLbls>
        <c:gapWidth val="100"/>
        <c:overlap val="-24"/>
        <c:axId val="773965584"/>
        <c:axId val="773958920"/>
      </c:barChart>
      <c:dateAx>
        <c:axId val="773965584"/>
        <c:scaling>
          <c:orientation val="maxMin"/>
        </c:scaling>
        <c:delete val="0"/>
        <c:axPos val="b"/>
        <c:numFmt formatCode="mmm\-yy"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58920"/>
        <c:crosses val="autoZero"/>
        <c:auto val="1"/>
        <c:lblOffset val="100"/>
        <c:baseTimeUnit val="months"/>
      </c:dateAx>
      <c:valAx>
        <c:axId val="773958920"/>
        <c:scaling>
          <c:orientation val="minMax"/>
        </c:scaling>
        <c:delete val="0"/>
        <c:axPos val="r"/>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73965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he-IL"/>
              <a:t>ניתוח הוצאות שנתיות*</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pieChart>
        <c:varyColors val="1"/>
        <c:ser>
          <c:idx val="0"/>
          <c:order val="0"/>
          <c:tx>
            <c:v>הוצאות</c:v>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Lbls>
            <c:dLbl>
              <c:idx val="0"/>
              <c:layout/>
              <c:tx>
                <c:rich>
                  <a:bodyPr/>
                  <a:lstStyle/>
                  <a:p>
                    <a:fld id="{451BF53C-AF20-4E1A-A069-8F7A60C11EFB}" type="CELLRANGE">
                      <a:rPr lang="en-US"/>
                      <a:pPr/>
                      <a:t>[CELLRANGE]</a:t>
                    </a:fld>
                    <a:r>
                      <a:rPr lang="en-US" baseline="0"/>
                      <a:t>, </a:t>
                    </a:r>
                    <a:fld id="{257AFABB-6E44-490F-BC6B-6E0C2E656B1F}"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1001973D-F37B-42CB-B2DF-34255D7DC2CC}" type="CELLRANGE">
                      <a:rPr lang="en-US"/>
                      <a:pPr/>
                      <a:t>[CELLRANGE]</a:t>
                    </a:fld>
                    <a:r>
                      <a:rPr lang="en-US" baseline="0"/>
                      <a:t>, </a:t>
                    </a:r>
                    <a:fld id="{F8722C58-9E07-4EA3-A880-7FCD78576C79}"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15:showDataLabelsRange val="1"/>
              </c:ext>
            </c:extLst>
          </c:dLbls>
          <c:cat>
            <c:strRef>
              <c:f>'נתונים לגרפים'!$P$23:$P$24</c:f>
              <c:strCache>
                <c:ptCount val="2"/>
                <c:pt idx="0">
                  <c:v>הוצאות קבועות</c:v>
                </c:pt>
                <c:pt idx="1">
                  <c:v>הוצאות משתנות</c:v>
                </c:pt>
              </c:strCache>
            </c:strRef>
          </c:cat>
          <c:val>
            <c:numRef>
              <c:f>'נתונים לגרפים'!$S$23:$S$24</c:f>
              <c:numCache>
                <c:formatCode>0.0%</c:formatCode>
                <c:ptCount val="2"/>
                <c:pt idx="0">
                  <c:v>0.46521635731515354</c:v>
                </c:pt>
                <c:pt idx="1">
                  <c:v>0.53478364268484646</c:v>
                </c:pt>
              </c:numCache>
            </c:numRef>
          </c:val>
          <c:extLst>
            <c:ext xmlns:c15="http://schemas.microsoft.com/office/drawing/2012/chart" uri="{02D57815-91ED-43cb-92C2-25804820EDAC}">
              <c15:datalabelsRange>
                <c15:f>'נתונים לגרפים'!$R$23:$R$24</c15:f>
                <c15:dlblRangeCache>
                  <c:ptCount val="2"/>
                  <c:pt idx="0">
                    <c:v> 14,378 </c:v>
                  </c:pt>
                  <c:pt idx="1">
                    <c:v> 16,528 </c:v>
                  </c:pt>
                </c15:dlblRangeCache>
              </c15:datalabelsRang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5747011719076518"/>
          <c:y val="0.3171754551089277"/>
          <c:w val="0.22979102930605011"/>
          <c:h val="0.38611265428556124"/>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47625</xdr:colOff>
      <xdr:row>1</xdr:row>
      <xdr:rowOff>76200</xdr:rowOff>
    </xdr:from>
    <xdr:to>
      <xdr:col>17</xdr:col>
      <xdr:colOff>19050</xdr:colOff>
      <xdr:row>4</xdr:row>
      <xdr:rowOff>66675</xdr:rowOff>
    </xdr:to>
    <xdr:sp macro="" textlink="">
      <xdr:nvSpPr>
        <xdr:cNvPr id="4" name="TextBox 3"/>
        <xdr:cNvSpPr txBox="1"/>
      </xdr:nvSpPr>
      <xdr:spPr>
        <a:xfrm>
          <a:off x="9977304150" y="266700"/>
          <a:ext cx="103346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1"/>
          <a:r>
            <a:rPr lang="he-IL" sz="2800">
              <a:solidFill>
                <a:schemeClr val="bg1"/>
              </a:solidFill>
            </a:rPr>
            <a:t>מודל ניהול מלון להתאוששות</a:t>
          </a:r>
          <a:r>
            <a:rPr lang="he-IL" sz="2800" baseline="0">
              <a:solidFill>
                <a:schemeClr val="bg1"/>
              </a:solidFill>
            </a:rPr>
            <a:t> ממשבר הקורונה</a:t>
          </a:r>
          <a:endParaRPr lang="en-US" sz="2800">
            <a:solidFill>
              <a:schemeClr val="bg1"/>
            </a:solidFill>
          </a:endParaRPr>
        </a:p>
      </xdr:txBody>
    </xdr:sp>
    <xdr:clientData/>
  </xdr:twoCellAnchor>
  <xdr:twoCellAnchor editAs="oneCell">
    <xdr:from>
      <xdr:col>0</xdr:col>
      <xdr:colOff>0</xdr:colOff>
      <xdr:row>0</xdr:row>
      <xdr:rowOff>0</xdr:rowOff>
    </xdr:from>
    <xdr:to>
      <xdr:col>16</xdr:col>
      <xdr:colOff>28575</xdr:colOff>
      <xdr:row>29</xdr:row>
      <xdr:rowOff>25400</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7628000" y="0"/>
          <a:ext cx="10058400" cy="5588000"/>
        </a:xfrm>
        <a:prstGeom prst="rect">
          <a:avLst/>
        </a:prstGeom>
      </xdr:spPr>
    </xdr:pic>
    <xdr:clientData/>
  </xdr:twoCellAnchor>
  <xdr:twoCellAnchor editAs="oneCell">
    <xdr:from>
      <xdr:col>11</xdr:col>
      <xdr:colOff>506521</xdr:colOff>
      <xdr:row>20</xdr:row>
      <xdr:rowOff>57151</xdr:rowOff>
    </xdr:from>
    <xdr:to>
      <xdr:col>16</xdr:col>
      <xdr:colOff>31619</xdr:colOff>
      <xdr:row>29</xdr:row>
      <xdr:rowOff>38646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7901181" y="3971926"/>
          <a:ext cx="2849323" cy="1629320"/>
        </a:xfrm>
        <a:prstGeom prst="rect">
          <a:avLst/>
        </a:prstGeom>
      </xdr:spPr>
    </xdr:pic>
    <xdr:clientData/>
  </xdr:twoCellAnchor>
  <xdr:twoCellAnchor>
    <xdr:from>
      <xdr:col>0</xdr:col>
      <xdr:colOff>142875</xdr:colOff>
      <xdr:row>0</xdr:row>
      <xdr:rowOff>180975</xdr:rowOff>
    </xdr:from>
    <xdr:to>
      <xdr:col>15</xdr:col>
      <xdr:colOff>552450</xdr:colOff>
      <xdr:row>3</xdr:row>
      <xdr:rowOff>171450</xdr:rowOff>
    </xdr:to>
    <xdr:sp macro="" textlink="">
      <xdr:nvSpPr>
        <xdr:cNvPr id="9" name="TextBox 8"/>
        <xdr:cNvSpPr txBox="1"/>
      </xdr:nvSpPr>
      <xdr:spPr>
        <a:xfrm>
          <a:off x="9978266175" y="180975"/>
          <a:ext cx="95535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1"/>
          <a:r>
            <a:rPr lang="he-IL" sz="2800">
              <a:solidFill>
                <a:srgbClr val="002060"/>
              </a:solidFill>
            </a:rPr>
            <a:t>מודל ניהול</a:t>
          </a:r>
          <a:r>
            <a:rPr lang="he-IL" sz="2800" baseline="0">
              <a:solidFill>
                <a:srgbClr val="002060"/>
              </a:solidFill>
            </a:rPr>
            <a:t> מלון על רקע משבר הקורונה</a:t>
          </a:r>
          <a:endParaRPr lang="en-US" sz="2800">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530087</xdr:colOff>
      <xdr:row>137</xdr:row>
      <xdr:rowOff>0</xdr:rowOff>
    </xdr:from>
    <xdr:to>
      <xdr:col>1</xdr:col>
      <xdr:colOff>3345088</xdr:colOff>
      <xdr:row>164</xdr:row>
      <xdr:rowOff>16566</xdr:rowOff>
    </xdr:to>
    <xdr:pic>
      <xdr:nvPicPr>
        <xdr:cNvPr id="44" name="Picture 4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68"/>
        <a:stretch/>
      </xdr:blipFill>
      <xdr:spPr>
        <a:xfrm>
          <a:off x="10048793260" y="27042717"/>
          <a:ext cx="3427914" cy="5160066"/>
        </a:xfrm>
        <a:prstGeom prst="rect">
          <a:avLst/>
        </a:prstGeom>
      </xdr:spPr>
    </xdr:pic>
    <xdr:clientData/>
  </xdr:twoCellAnchor>
  <xdr:twoCellAnchor editAs="oneCell">
    <xdr:from>
      <xdr:col>0</xdr:col>
      <xdr:colOff>530087</xdr:colOff>
      <xdr:row>107</xdr:row>
      <xdr:rowOff>0</xdr:rowOff>
    </xdr:from>
    <xdr:to>
      <xdr:col>1</xdr:col>
      <xdr:colOff>3387587</xdr:colOff>
      <xdr:row>136</xdr:row>
      <xdr:rowOff>69116</xdr:rowOff>
    </xdr:to>
    <xdr:pic>
      <xdr:nvPicPr>
        <xdr:cNvPr id="28" name="Picture 2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48750761" y="21327717"/>
          <a:ext cx="3470413" cy="5593616"/>
        </a:xfrm>
        <a:prstGeom prst="rect">
          <a:avLst/>
        </a:prstGeom>
      </xdr:spPr>
    </xdr:pic>
    <xdr:clientData/>
  </xdr:twoCellAnchor>
  <xdr:twoCellAnchor editAs="oneCell">
    <xdr:from>
      <xdr:col>0</xdr:col>
      <xdr:colOff>472110</xdr:colOff>
      <xdr:row>49</xdr:row>
      <xdr:rowOff>16563</xdr:rowOff>
    </xdr:from>
    <xdr:to>
      <xdr:col>1</xdr:col>
      <xdr:colOff>3207358</xdr:colOff>
      <xdr:row>73</xdr:row>
      <xdr:rowOff>190498</xdr:rowOff>
    </xdr:to>
    <xdr:pic>
      <xdr:nvPicPr>
        <xdr:cNvPr id="26" name="Picture 2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48930990" y="10245585"/>
          <a:ext cx="3348161" cy="4745935"/>
        </a:xfrm>
        <a:prstGeom prst="rect">
          <a:avLst/>
        </a:prstGeom>
      </xdr:spPr>
    </xdr:pic>
    <xdr:clientData/>
  </xdr:twoCellAnchor>
  <xdr:twoCellAnchor editAs="oneCell">
    <xdr:from>
      <xdr:col>0</xdr:col>
      <xdr:colOff>604630</xdr:colOff>
      <xdr:row>77</xdr:row>
      <xdr:rowOff>173935</xdr:rowOff>
    </xdr:from>
    <xdr:to>
      <xdr:col>1</xdr:col>
      <xdr:colOff>3238499</xdr:colOff>
      <xdr:row>101</xdr:row>
      <xdr:rowOff>83264</xdr:rowOff>
    </xdr:to>
    <xdr:pic>
      <xdr:nvPicPr>
        <xdr:cNvPr id="15" name="Picture 1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0577"/>
        <a:stretch/>
      </xdr:blipFill>
      <xdr:spPr>
        <a:xfrm>
          <a:off x="10048899849" y="16308457"/>
          <a:ext cx="3246782" cy="4481329"/>
        </a:xfrm>
        <a:prstGeom prst="rect">
          <a:avLst/>
        </a:prstGeom>
      </xdr:spPr>
    </xdr:pic>
    <xdr:clientData/>
  </xdr:twoCellAnchor>
  <xdr:twoCellAnchor editAs="oneCell">
    <xdr:from>
      <xdr:col>0</xdr:col>
      <xdr:colOff>563217</xdr:colOff>
      <xdr:row>30</xdr:row>
      <xdr:rowOff>49696</xdr:rowOff>
    </xdr:from>
    <xdr:to>
      <xdr:col>1</xdr:col>
      <xdr:colOff>4591097</xdr:colOff>
      <xdr:row>44</xdr:row>
      <xdr:rowOff>107674</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47547251" y="6659218"/>
          <a:ext cx="4640793" cy="2724978"/>
        </a:xfrm>
        <a:prstGeom prst="rect">
          <a:avLst/>
        </a:prstGeom>
      </xdr:spPr>
    </xdr:pic>
    <xdr:clientData/>
  </xdr:twoCellAnchor>
  <xdr:twoCellAnchor>
    <xdr:from>
      <xdr:col>1</xdr:col>
      <xdr:colOff>5284305</xdr:colOff>
      <xdr:row>31</xdr:row>
      <xdr:rowOff>49696</xdr:rowOff>
    </xdr:from>
    <xdr:to>
      <xdr:col>1</xdr:col>
      <xdr:colOff>7967870</xdr:colOff>
      <xdr:row>34</xdr:row>
      <xdr:rowOff>182218</xdr:rowOff>
    </xdr:to>
    <xdr:sp macro="" textlink="">
      <xdr:nvSpPr>
        <xdr:cNvPr id="3" name="TextBox 2"/>
        <xdr:cNvSpPr txBox="1"/>
      </xdr:nvSpPr>
      <xdr:spPr>
        <a:xfrm>
          <a:off x="10043665239" y="5060674"/>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לבחור את החודש שבו מעוניינים שהמודל</a:t>
          </a:r>
          <a:r>
            <a:rPr lang="he-IL" sz="1100" baseline="0"/>
            <a:t> יתחיל, ככל שנשנה את חודש תחילת המודל.</a:t>
          </a:r>
        </a:p>
      </xdr:txBody>
    </xdr:sp>
    <xdr:clientData/>
  </xdr:twoCellAnchor>
  <xdr:twoCellAnchor>
    <xdr:from>
      <xdr:col>1</xdr:col>
      <xdr:colOff>5317436</xdr:colOff>
      <xdr:row>36</xdr:row>
      <xdr:rowOff>91108</xdr:rowOff>
    </xdr:from>
    <xdr:to>
      <xdr:col>1</xdr:col>
      <xdr:colOff>8001001</xdr:colOff>
      <xdr:row>40</xdr:row>
      <xdr:rowOff>190499</xdr:rowOff>
    </xdr:to>
    <xdr:sp macro="" textlink="">
      <xdr:nvSpPr>
        <xdr:cNvPr id="4" name="TextBox 3"/>
        <xdr:cNvSpPr txBox="1"/>
      </xdr:nvSpPr>
      <xdr:spPr>
        <a:xfrm>
          <a:off x="10044137347" y="7843630"/>
          <a:ext cx="2683565" cy="86139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יש להזין את המזומנים</a:t>
          </a:r>
          <a:r>
            <a:rPr lang="he-IL" sz="1100" baseline="0">
              <a:solidFill>
                <a:schemeClr val="dk1"/>
              </a:solidFill>
              <a:effectLst/>
              <a:latin typeface="+mn-lt"/>
              <a:ea typeface="+mn-ea"/>
              <a:cs typeface="+mn-cs"/>
            </a:rPr>
            <a:t> בקופה של העסק לסוף חודש אפריל 2020. סכום זה ישמש את המודל לאמוד את יתרת המזומנים בכל חודש קדימה. אם לא הוזנה יתרה - המודל מניח יתרת פתיחה 0.</a:t>
          </a:r>
        </a:p>
      </xdr:txBody>
    </xdr:sp>
    <xdr:clientData/>
  </xdr:twoCellAnchor>
  <xdr:twoCellAnchor>
    <xdr:from>
      <xdr:col>1</xdr:col>
      <xdr:colOff>5300871</xdr:colOff>
      <xdr:row>41</xdr:row>
      <xdr:rowOff>99392</xdr:rowOff>
    </xdr:from>
    <xdr:to>
      <xdr:col>1</xdr:col>
      <xdr:colOff>7984436</xdr:colOff>
      <xdr:row>45</xdr:row>
      <xdr:rowOff>41414</xdr:rowOff>
    </xdr:to>
    <xdr:sp macro="" textlink="">
      <xdr:nvSpPr>
        <xdr:cNvPr id="5" name="TextBox 4"/>
        <xdr:cNvSpPr txBox="1"/>
      </xdr:nvSpPr>
      <xdr:spPr>
        <a:xfrm>
          <a:off x="10043648673" y="7015370"/>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1100">
              <a:solidFill>
                <a:schemeClr val="dk1"/>
              </a:solidFill>
              <a:effectLst/>
              <a:latin typeface="+mn-lt"/>
              <a:ea typeface="+mn-ea"/>
              <a:cs typeface="+mn-cs"/>
            </a:rPr>
            <a:t>אם תוריד/י את המחירים שלך בכ-10%, בכמה אחוזים את/ה צופה שתעלה התפוסה במלון שלך. הכוונה הינה לעומת המצב הנוכחי כיום</a:t>
          </a:r>
          <a:r>
            <a:rPr lang="he-IL" sz="1100">
              <a:solidFill>
                <a:schemeClr val="dk1"/>
              </a:solidFill>
              <a:latin typeface="+mn-lt"/>
              <a:ea typeface="+mn-ea"/>
              <a:cs typeface="+mn-cs"/>
            </a:rPr>
            <a:t>.</a:t>
          </a:r>
        </a:p>
      </xdr:txBody>
    </xdr:sp>
    <xdr:clientData/>
  </xdr:twoCellAnchor>
  <xdr:twoCellAnchor>
    <xdr:from>
      <xdr:col>1</xdr:col>
      <xdr:colOff>4099892</xdr:colOff>
      <xdr:row>33</xdr:row>
      <xdr:rowOff>20707</xdr:rowOff>
    </xdr:from>
    <xdr:to>
      <xdr:col>1</xdr:col>
      <xdr:colOff>5284305</xdr:colOff>
      <xdr:row>36</xdr:row>
      <xdr:rowOff>8283</xdr:rowOff>
    </xdr:to>
    <xdr:cxnSp macro="">
      <xdr:nvCxnSpPr>
        <xdr:cNvPr id="13" name="Straight Arrow Connector 12"/>
        <xdr:cNvCxnSpPr>
          <a:endCxn id="3" idx="3"/>
        </xdr:cNvCxnSpPr>
      </xdr:nvCxnSpPr>
      <xdr:spPr>
        <a:xfrm flipH="1" flipV="1">
          <a:off x="10046348804" y="5412685"/>
          <a:ext cx="1184413" cy="55907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4066760</xdr:colOff>
      <xdr:row>38</xdr:row>
      <xdr:rowOff>49696</xdr:rowOff>
    </xdr:from>
    <xdr:to>
      <xdr:col>1</xdr:col>
      <xdr:colOff>5317436</xdr:colOff>
      <xdr:row>38</xdr:row>
      <xdr:rowOff>140804</xdr:rowOff>
    </xdr:to>
    <xdr:cxnSp macro="">
      <xdr:nvCxnSpPr>
        <xdr:cNvPr id="14" name="Straight Arrow Connector 13"/>
        <xdr:cNvCxnSpPr>
          <a:endCxn id="4" idx="3"/>
        </xdr:cNvCxnSpPr>
      </xdr:nvCxnSpPr>
      <xdr:spPr>
        <a:xfrm flipH="1">
          <a:off x="10046820912" y="8183218"/>
          <a:ext cx="1250676" cy="911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4058479</xdr:colOff>
      <xdr:row>40</xdr:row>
      <xdr:rowOff>41413</xdr:rowOff>
    </xdr:from>
    <xdr:to>
      <xdr:col>1</xdr:col>
      <xdr:colOff>5300871</xdr:colOff>
      <xdr:row>43</xdr:row>
      <xdr:rowOff>70403</xdr:rowOff>
    </xdr:to>
    <xdr:cxnSp macro="">
      <xdr:nvCxnSpPr>
        <xdr:cNvPr id="16" name="Straight Arrow Connector 15"/>
        <xdr:cNvCxnSpPr>
          <a:endCxn id="5" idx="3"/>
        </xdr:cNvCxnSpPr>
      </xdr:nvCxnSpPr>
      <xdr:spPr>
        <a:xfrm flipH="1">
          <a:off x="10046332238" y="6766891"/>
          <a:ext cx="1242392" cy="60049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4157871</xdr:colOff>
      <xdr:row>49</xdr:row>
      <xdr:rowOff>16566</xdr:rowOff>
    </xdr:from>
    <xdr:to>
      <xdr:col>1</xdr:col>
      <xdr:colOff>6841436</xdr:colOff>
      <xdr:row>52</xdr:row>
      <xdr:rowOff>149088</xdr:rowOff>
    </xdr:to>
    <xdr:sp macro="" textlink="">
      <xdr:nvSpPr>
        <xdr:cNvPr id="23" name="TextBox 22"/>
        <xdr:cNvSpPr txBox="1"/>
      </xdr:nvSpPr>
      <xdr:spPr>
        <a:xfrm>
          <a:off x="10045296912" y="10245588"/>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יש להזין את ההכנסות המרביות שניתן להכניס בחודש מלינות, כלומר חודש עם תפוסה מלאה של 100%.</a:t>
          </a:r>
        </a:p>
      </xdr:txBody>
    </xdr:sp>
    <xdr:clientData/>
  </xdr:twoCellAnchor>
  <xdr:twoCellAnchor>
    <xdr:from>
      <xdr:col>1</xdr:col>
      <xdr:colOff>4224133</xdr:colOff>
      <xdr:row>63</xdr:row>
      <xdr:rowOff>16565</xdr:rowOff>
    </xdr:from>
    <xdr:to>
      <xdr:col>1</xdr:col>
      <xdr:colOff>6907698</xdr:colOff>
      <xdr:row>69</xdr:row>
      <xdr:rowOff>99391</xdr:rowOff>
    </xdr:to>
    <xdr:sp macro="" textlink="">
      <xdr:nvSpPr>
        <xdr:cNvPr id="24" name="TextBox 23"/>
        <xdr:cNvSpPr txBox="1"/>
      </xdr:nvSpPr>
      <xdr:spPr>
        <a:xfrm>
          <a:off x="10044725411" y="15364239"/>
          <a:ext cx="2683565" cy="1225826"/>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יש להזין מה התפוסה שאת/ה צופה שיהיו בשנה הקרובה מבחינת חדרים.</a:t>
          </a:r>
        </a:p>
        <a:p>
          <a:pPr marL="0" indent="0" algn="r" rtl="1"/>
          <a:endParaRPr lang="he-IL" sz="1100">
            <a:solidFill>
              <a:schemeClr val="dk1"/>
            </a:solidFill>
            <a:latin typeface="+mn-lt"/>
            <a:ea typeface="+mn-ea"/>
            <a:cs typeface="+mn-cs"/>
          </a:endParaRPr>
        </a:p>
        <a:p>
          <a:pPr marL="0" indent="0" algn="r" rtl="1"/>
          <a:r>
            <a:rPr lang="he-IL" sz="1100">
              <a:solidFill>
                <a:schemeClr val="dk1"/>
              </a:solidFill>
              <a:latin typeface="+mn-lt"/>
              <a:ea typeface="+mn-ea"/>
              <a:cs typeface="+mn-cs"/>
            </a:rPr>
            <a:t>שים/י לב - ההכנסות בחודש עם תפוסה מלאה אמור להתכתב עם התפוסה שאת/ עתיד/ה להזין.</a:t>
          </a:r>
        </a:p>
      </xdr:txBody>
    </xdr:sp>
    <xdr:clientData/>
  </xdr:twoCellAnchor>
  <xdr:twoCellAnchor>
    <xdr:from>
      <xdr:col>1</xdr:col>
      <xdr:colOff>2807805</xdr:colOff>
      <xdr:row>50</xdr:row>
      <xdr:rowOff>165653</xdr:rowOff>
    </xdr:from>
    <xdr:to>
      <xdr:col>1</xdr:col>
      <xdr:colOff>4157871</xdr:colOff>
      <xdr:row>50</xdr:row>
      <xdr:rowOff>178077</xdr:rowOff>
    </xdr:to>
    <xdr:cxnSp macro="">
      <xdr:nvCxnSpPr>
        <xdr:cNvPr id="25" name="Straight Arrow Connector 24"/>
        <xdr:cNvCxnSpPr>
          <a:endCxn id="23" idx="3"/>
        </xdr:cNvCxnSpPr>
      </xdr:nvCxnSpPr>
      <xdr:spPr>
        <a:xfrm flipH="1">
          <a:off x="10047980477" y="10585175"/>
          <a:ext cx="1350066" cy="124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2857500</xdr:colOff>
      <xdr:row>58</xdr:row>
      <xdr:rowOff>115955</xdr:rowOff>
    </xdr:from>
    <xdr:to>
      <xdr:col>1</xdr:col>
      <xdr:colOff>4166152</xdr:colOff>
      <xdr:row>64</xdr:row>
      <xdr:rowOff>124238</xdr:rowOff>
    </xdr:to>
    <xdr:cxnSp macro="">
      <xdr:nvCxnSpPr>
        <xdr:cNvPr id="29" name="Elbow Connector 28"/>
        <xdr:cNvCxnSpPr/>
      </xdr:nvCxnSpPr>
      <xdr:spPr>
        <a:xfrm rot="10800000" flipV="1">
          <a:off x="10047466957" y="14511129"/>
          <a:ext cx="1308652" cy="1151283"/>
        </a:xfrm>
        <a:prstGeom prst="bentConnector3">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2791237</xdr:colOff>
      <xdr:row>64</xdr:row>
      <xdr:rowOff>124239</xdr:rowOff>
    </xdr:from>
    <xdr:to>
      <xdr:col>1</xdr:col>
      <xdr:colOff>3520108</xdr:colOff>
      <xdr:row>71</xdr:row>
      <xdr:rowOff>57978</xdr:rowOff>
    </xdr:to>
    <xdr:cxnSp macro="">
      <xdr:nvCxnSpPr>
        <xdr:cNvPr id="31" name="Elbow Connector 30"/>
        <xdr:cNvCxnSpPr/>
      </xdr:nvCxnSpPr>
      <xdr:spPr>
        <a:xfrm rot="16200000" flipV="1">
          <a:off x="10047843817" y="15931597"/>
          <a:ext cx="1267239" cy="728871"/>
        </a:xfrm>
        <a:prstGeom prst="bentConnector3">
          <a:avLst>
            <a:gd name="adj1" fmla="val 98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4257269</xdr:colOff>
      <xdr:row>77</xdr:row>
      <xdr:rowOff>57972</xdr:rowOff>
    </xdr:from>
    <xdr:to>
      <xdr:col>1</xdr:col>
      <xdr:colOff>6940834</xdr:colOff>
      <xdr:row>80</xdr:row>
      <xdr:rowOff>190494</xdr:rowOff>
    </xdr:to>
    <xdr:sp macro="" textlink="">
      <xdr:nvSpPr>
        <xdr:cNvPr id="34" name="TextBox 33"/>
        <xdr:cNvSpPr txBox="1"/>
      </xdr:nvSpPr>
      <xdr:spPr>
        <a:xfrm>
          <a:off x="10045197514" y="16192494"/>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הוזן כי בחודש של 100% תפוסה, המלון עתיד להכניס כ-2,500,000 ש"ח מלינות.</a:t>
          </a:r>
        </a:p>
      </xdr:txBody>
    </xdr:sp>
    <xdr:clientData/>
  </xdr:twoCellAnchor>
  <xdr:twoCellAnchor>
    <xdr:from>
      <xdr:col>1</xdr:col>
      <xdr:colOff>4265551</xdr:colOff>
      <xdr:row>91</xdr:row>
      <xdr:rowOff>57980</xdr:rowOff>
    </xdr:from>
    <xdr:to>
      <xdr:col>1</xdr:col>
      <xdr:colOff>6949116</xdr:colOff>
      <xdr:row>95</xdr:row>
      <xdr:rowOff>99393</xdr:rowOff>
    </xdr:to>
    <xdr:sp macro="" textlink="">
      <xdr:nvSpPr>
        <xdr:cNvPr id="35" name="TextBox 34"/>
        <xdr:cNvSpPr txBox="1"/>
      </xdr:nvSpPr>
      <xdr:spPr>
        <a:xfrm>
          <a:off x="10045189232" y="18859502"/>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הוזן כי אם נפתח את המלון בתחילת מאי, אנו צופים כי התפוסה של המלון תהיה 50%</a:t>
          </a:r>
          <a:r>
            <a:rPr lang="he-IL" sz="1100" baseline="0">
              <a:solidFill>
                <a:schemeClr val="dk1"/>
              </a:solidFill>
              <a:latin typeface="+mn-lt"/>
              <a:ea typeface="+mn-ea"/>
              <a:cs typeface="+mn-cs"/>
            </a:rPr>
            <a:t> </a:t>
          </a:r>
          <a:r>
            <a:rPr lang="he-IL" sz="1100">
              <a:solidFill>
                <a:schemeClr val="dk1"/>
              </a:solidFill>
              <a:latin typeface="+mn-lt"/>
              <a:ea typeface="+mn-ea"/>
              <a:cs typeface="+mn-cs"/>
            </a:rPr>
            <a:t>וכי בחודש ינואר אם המלון יהיה פתוח, תהיה תפוסה של כ-70%.</a:t>
          </a:r>
        </a:p>
      </xdr:txBody>
    </xdr:sp>
    <xdr:clientData/>
  </xdr:twoCellAnchor>
  <xdr:twoCellAnchor>
    <xdr:from>
      <xdr:col>1</xdr:col>
      <xdr:colOff>2907203</xdr:colOff>
      <xdr:row>79</xdr:row>
      <xdr:rowOff>16559</xdr:rowOff>
    </xdr:from>
    <xdr:to>
      <xdr:col>1</xdr:col>
      <xdr:colOff>4257269</xdr:colOff>
      <xdr:row>79</xdr:row>
      <xdr:rowOff>28983</xdr:rowOff>
    </xdr:to>
    <xdr:cxnSp macro="">
      <xdr:nvCxnSpPr>
        <xdr:cNvPr id="36" name="Straight Arrow Connector 35"/>
        <xdr:cNvCxnSpPr>
          <a:endCxn id="34" idx="3"/>
        </xdr:cNvCxnSpPr>
      </xdr:nvCxnSpPr>
      <xdr:spPr>
        <a:xfrm flipH="1">
          <a:off x="10047881079" y="16532081"/>
          <a:ext cx="1350066" cy="124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2898918</xdr:colOff>
      <xdr:row>86</xdr:row>
      <xdr:rowOff>157370</xdr:rowOff>
    </xdr:from>
    <xdr:to>
      <xdr:col>1</xdr:col>
      <xdr:colOff>4207570</xdr:colOff>
      <xdr:row>92</xdr:row>
      <xdr:rowOff>165653</xdr:rowOff>
    </xdr:to>
    <xdr:cxnSp macro="">
      <xdr:nvCxnSpPr>
        <xdr:cNvPr id="37" name="Elbow Connector 36"/>
        <xdr:cNvCxnSpPr/>
      </xdr:nvCxnSpPr>
      <xdr:spPr>
        <a:xfrm rot="10800000" flipV="1">
          <a:off x="10047930778" y="18006392"/>
          <a:ext cx="1308652" cy="1151283"/>
        </a:xfrm>
        <a:prstGeom prst="bentConnector3">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2832655</xdr:colOff>
      <xdr:row>92</xdr:row>
      <xdr:rowOff>165654</xdr:rowOff>
    </xdr:from>
    <xdr:to>
      <xdr:col>1</xdr:col>
      <xdr:colOff>3561526</xdr:colOff>
      <xdr:row>99</xdr:row>
      <xdr:rowOff>99393</xdr:rowOff>
    </xdr:to>
    <xdr:cxnSp macro="">
      <xdr:nvCxnSpPr>
        <xdr:cNvPr id="38" name="Elbow Connector 37"/>
        <xdr:cNvCxnSpPr/>
      </xdr:nvCxnSpPr>
      <xdr:spPr>
        <a:xfrm rot="16200000" flipV="1">
          <a:off x="10048307638" y="19426860"/>
          <a:ext cx="1267239" cy="728871"/>
        </a:xfrm>
        <a:prstGeom prst="bentConnector3">
          <a:avLst>
            <a:gd name="adj1" fmla="val 98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4326441</xdr:colOff>
      <xdr:row>106</xdr:row>
      <xdr:rowOff>149090</xdr:rowOff>
    </xdr:from>
    <xdr:to>
      <xdr:col>1</xdr:col>
      <xdr:colOff>7010006</xdr:colOff>
      <xdr:row>110</xdr:row>
      <xdr:rowOff>91111</xdr:rowOff>
    </xdr:to>
    <xdr:sp macro="" textlink="">
      <xdr:nvSpPr>
        <xdr:cNvPr id="47" name="TextBox 46"/>
        <xdr:cNvSpPr txBox="1"/>
      </xdr:nvSpPr>
      <xdr:spPr>
        <a:xfrm>
          <a:off x="10045128342" y="21286307"/>
          <a:ext cx="2683565" cy="70402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להזין את</a:t>
          </a:r>
          <a:r>
            <a:rPr lang="he-IL" sz="1100" baseline="0"/>
            <a:t> סוגי העלויות הקבועות שקיימות למלון</a:t>
          </a:r>
        </a:p>
      </xdr:txBody>
    </xdr:sp>
    <xdr:clientData/>
  </xdr:twoCellAnchor>
  <xdr:twoCellAnchor>
    <xdr:from>
      <xdr:col>1</xdr:col>
      <xdr:colOff>4301594</xdr:colOff>
      <xdr:row>111</xdr:row>
      <xdr:rowOff>82827</xdr:rowOff>
    </xdr:from>
    <xdr:to>
      <xdr:col>1</xdr:col>
      <xdr:colOff>6985159</xdr:colOff>
      <xdr:row>115</xdr:row>
      <xdr:rowOff>24849</xdr:rowOff>
    </xdr:to>
    <xdr:sp macro="" textlink="">
      <xdr:nvSpPr>
        <xdr:cNvPr id="48" name="TextBox 47"/>
        <xdr:cNvSpPr txBox="1"/>
      </xdr:nvSpPr>
      <xdr:spPr>
        <a:xfrm>
          <a:off x="10045153189" y="22172544"/>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לכל</a:t>
          </a:r>
          <a:r>
            <a:rPr lang="he-IL" sz="1100" baseline="0">
              <a:solidFill>
                <a:schemeClr val="dk1"/>
              </a:solidFill>
              <a:latin typeface="+mn-lt"/>
              <a:ea typeface="+mn-ea"/>
              <a:cs typeface="+mn-cs"/>
            </a:rPr>
            <a:t> הוצאה קבועה יש להזין את גובה ההוצאה</a:t>
          </a:r>
          <a:endParaRPr lang="he-IL" sz="110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1134718</xdr:colOff>
      <xdr:row>108</xdr:row>
      <xdr:rowOff>120101</xdr:rowOff>
    </xdr:from>
    <xdr:to>
      <xdr:col>1</xdr:col>
      <xdr:colOff>4326441</xdr:colOff>
      <xdr:row>108</xdr:row>
      <xdr:rowOff>132522</xdr:rowOff>
    </xdr:to>
    <xdr:cxnSp macro="">
      <xdr:nvCxnSpPr>
        <xdr:cNvPr id="50" name="Straight Arrow Connector 49"/>
        <xdr:cNvCxnSpPr/>
      </xdr:nvCxnSpPr>
      <xdr:spPr>
        <a:xfrm flipH="1" flipV="1">
          <a:off x="10047811907" y="21638318"/>
          <a:ext cx="3191723" cy="1242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2973457</xdr:colOff>
      <xdr:row>108</xdr:row>
      <xdr:rowOff>149087</xdr:rowOff>
    </xdr:from>
    <xdr:to>
      <xdr:col>1</xdr:col>
      <xdr:colOff>4301594</xdr:colOff>
      <xdr:row>113</xdr:row>
      <xdr:rowOff>53838</xdr:rowOff>
    </xdr:to>
    <xdr:cxnSp macro="">
      <xdr:nvCxnSpPr>
        <xdr:cNvPr id="51" name="Straight Arrow Connector 50"/>
        <xdr:cNvCxnSpPr>
          <a:endCxn id="48" idx="3"/>
        </xdr:cNvCxnSpPr>
      </xdr:nvCxnSpPr>
      <xdr:spPr>
        <a:xfrm flipH="1">
          <a:off x="10047836754" y="21667304"/>
          <a:ext cx="1328137" cy="85725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4323521</xdr:colOff>
      <xdr:row>122</xdr:row>
      <xdr:rowOff>132519</xdr:rowOff>
    </xdr:from>
    <xdr:to>
      <xdr:col>1</xdr:col>
      <xdr:colOff>7007086</xdr:colOff>
      <xdr:row>126</xdr:row>
      <xdr:rowOff>74541</xdr:rowOff>
    </xdr:to>
    <xdr:sp macro="" textlink="">
      <xdr:nvSpPr>
        <xdr:cNvPr id="56" name="TextBox 55"/>
        <xdr:cNvSpPr txBox="1"/>
      </xdr:nvSpPr>
      <xdr:spPr>
        <a:xfrm>
          <a:off x="10045131262" y="24317736"/>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להזין את</a:t>
          </a:r>
          <a:r>
            <a:rPr lang="he-IL" sz="1100" baseline="0"/>
            <a:t> סוגי העלויות המשתנות שקיימות למלון</a:t>
          </a:r>
        </a:p>
      </xdr:txBody>
    </xdr:sp>
    <xdr:clientData/>
  </xdr:twoCellAnchor>
  <xdr:twoCellAnchor>
    <xdr:from>
      <xdr:col>1</xdr:col>
      <xdr:colOff>4282108</xdr:colOff>
      <xdr:row>127</xdr:row>
      <xdr:rowOff>149085</xdr:rowOff>
    </xdr:from>
    <xdr:to>
      <xdr:col>1</xdr:col>
      <xdr:colOff>6965673</xdr:colOff>
      <xdr:row>131</xdr:row>
      <xdr:rowOff>190498</xdr:rowOff>
    </xdr:to>
    <xdr:sp macro="" textlink="">
      <xdr:nvSpPr>
        <xdr:cNvPr id="57" name="TextBox 56"/>
        <xdr:cNvSpPr txBox="1"/>
      </xdr:nvSpPr>
      <xdr:spPr>
        <a:xfrm>
          <a:off x="10045172675" y="25286802"/>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לכל</a:t>
          </a:r>
          <a:r>
            <a:rPr lang="he-IL" sz="1100" baseline="0">
              <a:solidFill>
                <a:schemeClr val="dk1"/>
              </a:solidFill>
              <a:latin typeface="+mn-lt"/>
              <a:ea typeface="+mn-ea"/>
              <a:cs typeface="+mn-cs"/>
            </a:rPr>
            <a:t> הוצאה משתנה יש להזין את גובה ההוצאה</a:t>
          </a:r>
          <a:endParaRPr lang="he-IL" sz="1100">
            <a:solidFill>
              <a:schemeClr val="dk1"/>
            </a:solidFill>
            <a:latin typeface="+mn-lt"/>
            <a:ea typeface="+mn-ea"/>
            <a:cs typeface="+mn-cs"/>
          </a:endParaRPr>
        </a:p>
        <a:p>
          <a:pPr marL="0" indent="0" algn="r" rtl="1"/>
          <a:r>
            <a:rPr lang="he-IL" sz="1100">
              <a:solidFill>
                <a:schemeClr val="dk1"/>
              </a:solidFill>
              <a:latin typeface="+mn-lt"/>
              <a:ea typeface="+mn-ea"/>
              <a:cs typeface="+mn-cs"/>
            </a:rPr>
            <a:t>המשתנה ב-100% תפוסה!!!</a:t>
          </a:r>
        </a:p>
        <a:p>
          <a:pPr marL="0" indent="0" algn="r" rtl="1"/>
          <a:r>
            <a:rPr lang="he-IL" sz="1100">
              <a:solidFill>
                <a:schemeClr val="dk1"/>
              </a:solidFill>
              <a:latin typeface="+mn-lt"/>
              <a:ea typeface="+mn-ea"/>
              <a:cs typeface="+mn-cs"/>
            </a:rPr>
            <a:t>כלומר,</a:t>
          </a:r>
          <a:r>
            <a:rPr lang="he-IL" sz="1100" baseline="0">
              <a:solidFill>
                <a:schemeClr val="dk1"/>
              </a:solidFill>
              <a:latin typeface="+mn-lt"/>
              <a:ea typeface="+mn-ea"/>
              <a:cs typeface="+mn-cs"/>
            </a:rPr>
            <a:t> אם יש לי 100% תפוסה אז גובה ההוצאה שלי הוא __</a:t>
          </a:r>
        </a:p>
        <a:p>
          <a:pPr marL="0" indent="0" algn="r" rtl="1"/>
          <a:endParaRPr lang="he-IL" sz="1100">
            <a:solidFill>
              <a:schemeClr val="dk1"/>
            </a:solidFill>
            <a:latin typeface="+mn-lt"/>
            <a:ea typeface="+mn-ea"/>
            <a:cs typeface="+mn-cs"/>
          </a:endParaRPr>
        </a:p>
      </xdr:txBody>
    </xdr:sp>
    <xdr:clientData/>
  </xdr:twoCellAnchor>
  <xdr:twoCellAnchor>
    <xdr:from>
      <xdr:col>1</xdr:col>
      <xdr:colOff>1192696</xdr:colOff>
      <xdr:row>123</xdr:row>
      <xdr:rowOff>8283</xdr:rowOff>
    </xdr:from>
    <xdr:to>
      <xdr:col>1</xdr:col>
      <xdr:colOff>4323521</xdr:colOff>
      <xdr:row>124</xdr:row>
      <xdr:rowOff>103530</xdr:rowOff>
    </xdr:to>
    <xdr:cxnSp macro="">
      <xdr:nvCxnSpPr>
        <xdr:cNvPr id="59" name="Straight Arrow Connector 58"/>
        <xdr:cNvCxnSpPr>
          <a:endCxn id="56" idx="3"/>
        </xdr:cNvCxnSpPr>
      </xdr:nvCxnSpPr>
      <xdr:spPr>
        <a:xfrm flipH="1">
          <a:off x="10047814827" y="24384000"/>
          <a:ext cx="3130825" cy="28574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2956891</xdr:colOff>
      <xdr:row>122</xdr:row>
      <xdr:rowOff>173935</xdr:rowOff>
    </xdr:from>
    <xdr:to>
      <xdr:col>1</xdr:col>
      <xdr:colOff>4282108</xdr:colOff>
      <xdr:row>129</xdr:row>
      <xdr:rowOff>169792</xdr:rowOff>
    </xdr:to>
    <xdr:cxnSp macro="">
      <xdr:nvCxnSpPr>
        <xdr:cNvPr id="60" name="Straight Arrow Connector 59"/>
        <xdr:cNvCxnSpPr>
          <a:endCxn id="57" idx="3"/>
        </xdr:cNvCxnSpPr>
      </xdr:nvCxnSpPr>
      <xdr:spPr>
        <a:xfrm flipH="1">
          <a:off x="10047856240" y="24359152"/>
          <a:ext cx="1325217" cy="132935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-113166743</xdr:colOff>
      <xdr:row>104</xdr:row>
      <xdr:rowOff>9257</xdr:rowOff>
    </xdr:from>
    <xdr:to>
      <xdr:col>0</xdr:col>
      <xdr:colOff>-110483178</xdr:colOff>
      <xdr:row>107</xdr:row>
      <xdr:rowOff>136907</xdr:rowOff>
    </xdr:to>
    <xdr:sp macro="" textlink="">
      <xdr:nvSpPr>
        <xdr:cNvPr id="72" name="TextBox 71"/>
        <xdr:cNvSpPr txBox="1"/>
      </xdr:nvSpPr>
      <xdr:spPr>
        <a:xfrm>
          <a:off x="10035051325" y="23754522"/>
          <a:ext cx="2683565" cy="6991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להזין את</a:t>
          </a:r>
          <a:r>
            <a:rPr lang="he-IL" sz="1100" baseline="0"/>
            <a:t> סוגי העלויות הקבועות שקיימות למלון</a:t>
          </a:r>
        </a:p>
      </xdr:txBody>
    </xdr:sp>
    <xdr:clientData/>
  </xdr:twoCellAnchor>
  <xdr:twoCellAnchor>
    <xdr:from>
      <xdr:col>0</xdr:col>
      <xdr:colOff>-113191590</xdr:colOff>
      <xdr:row>108</xdr:row>
      <xdr:rowOff>128623</xdr:rowOff>
    </xdr:from>
    <xdr:to>
      <xdr:col>0</xdr:col>
      <xdr:colOff>-110508025</xdr:colOff>
      <xdr:row>112</xdr:row>
      <xdr:rowOff>70645</xdr:rowOff>
    </xdr:to>
    <xdr:sp macro="" textlink="">
      <xdr:nvSpPr>
        <xdr:cNvPr id="73" name="TextBox 72"/>
        <xdr:cNvSpPr txBox="1"/>
      </xdr:nvSpPr>
      <xdr:spPr>
        <a:xfrm>
          <a:off x="10035076172" y="24635888"/>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לכל</a:t>
          </a:r>
          <a:r>
            <a:rPr lang="he-IL" sz="1100" baseline="0">
              <a:solidFill>
                <a:schemeClr val="dk1"/>
              </a:solidFill>
              <a:latin typeface="+mn-lt"/>
              <a:ea typeface="+mn-ea"/>
              <a:cs typeface="+mn-cs"/>
            </a:rPr>
            <a:t> הוצאה קבועה יש להזין את גובה ההוצאה</a:t>
          </a:r>
          <a:endParaRPr lang="he-IL" sz="110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0</xdr:col>
      <xdr:colOff>-113249568</xdr:colOff>
      <xdr:row>113</xdr:row>
      <xdr:rowOff>87211</xdr:rowOff>
    </xdr:from>
    <xdr:to>
      <xdr:col>0</xdr:col>
      <xdr:colOff>-110566003</xdr:colOff>
      <xdr:row>117</xdr:row>
      <xdr:rowOff>29233</xdr:rowOff>
    </xdr:to>
    <xdr:sp macro="" textlink="">
      <xdr:nvSpPr>
        <xdr:cNvPr id="74" name="TextBox 73"/>
        <xdr:cNvSpPr txBox="1"/>
      </xdr:nvSpPr>
      <xdr:spPr>
        <a:xfrm>
          <a:off x="10035134150" y="25546976"/>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יש לציין</a:t>
          </a:r>
          <a:r>
            <a:rPr lang="he-IL" sz="1100" baseline="0">
              <a:solidFill>
                <a:schemeClr val="dk1"/>
              </a:solidFill>
              <a:latin typeface="+mn-lt"/>
              <a:ea typeface="+mn-ea"/>
              <a:cs typeface="+mn-cs"/>
            </a:rPr>
            <a:t> לכל הוצאה אם היא הוצאה בלתי נמנעת או לא. הוצאה בלתי נמנעת הינה הוצאה שגם אם המלון סגור לחלוטין עדיין חייבים להוציא את ההוצאה הנ"ל.</a:t>
          </a:r>
          <a:endParaRPr lang="he-IL" sz="1100">
            <a:solidFill>
              <a:schemeClr val="dk1"/>
            </a:solidFill>
            <a:latin typeface="+mn-lt"/>
            <a:ea typeface="+mn-ea"/>
            <a:cs typeface="+mn-cs"/>
          </a:endParaRPr>
        </a:p>
      </xdr:txBody>
    </xdr:sp>
    <xdr:clientData/>
  </xdr:twoCellAnchor>
  <xdr:twoCellAnchor>
    <xdr:from>
      <xdr:col>0</xdr:col>
      <xdr:colOff>-117680765</xdr:colOff>
      <xdr:row>105</xdr:row>
      <xdr:rowOff>165896</xdr:rowOff>
    </xdr:from>
    <xdr:to>
      <xdr:col>0</xdr:col>
      <xdr:colOff>-113166743</xdr:colOff>
      <xdr:row>111</xdr:row>
      <xdr:rowOff>161755</xdr:rowOff>
    </xdr:to>
    <xdr:cxnSp macro="">
      <xdr:nvCxnSpPr>
        <xdr:cNvPr id="75" name="Straight Arrow Connector 74"/>
        <xdr:cNvCxnSpPr>
          <a:endCxn id="72" idx="3"/>
        </xdr:cNvCxnSpPr>
      </xdr:nvCxnSpPr>
      <xdr:spPr>
        <a:xfrm flipH="1" flipV="1">
          <a:off x="10037734890" y="24101661"/>
          <a:ext cx="4514022" cy="11388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-116148482</xdr:colOff>
      <xdr:row>110</xdr:row>
      <xdr:rowOff>99634</xdr:rowOff>
    </xdr:from>
    <xdr:to>
      <xdr:col>0</xdr:col>
      <xdr:colOff>-113191590</xdr:colOff>
      <xdr:row>111</xdr:row>
      <xdr:rowOff>161754</xdr:rowOff>
    </xdr:to>
    <xdr:cxnSp macro="">
      <xdr:nvCxnSpPr>
        <xdr:cNvPr id="76" name="Straight Arrow Connector 75"/>
        <xdr:cNvCxnSpPr>
          <a:endCxn id="73" idx="3"/>
        </xdr:cNvCxnSpPr>
      </xdr:nvCxnSpPr>
      <xdr:spPr>
        <a:xfrm flipH="1" flipV="1">
          <a:off x="10037759737" y="24987899"/>
          <a:ext cx="2956892" cy="2526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-115262243</xdr:colOff>
      <xdr:row>112</xdr:row>
      <xdr:rowOff>12667</xdr:rowOff>
    </xdr:from>
    <xdr:to>
      <xdr:col>0</xdr:col>
      <xdr:colOff>-113249568</xdr:colOff>
      <xdr:row>115</xdr:row>
      <xdr:rowOff>58222</xdr:rowOff>
    </xdr:to>
    <xdr:cxnSp macro="">
      <xdr:nvCxnSpPr>
        <xdr:cNvPr id="77" name="Straight Arrow Connector 76"/>
        <xdr:cNvCxnSpPr>
          <a:endCxn id="74" idx="3"/>
        </xdr:cNvCxnSpPr>
      </xdr:nvCxnSpPr>
      <xdr:spPr>
        <a:xfrm flipH="1">
          <a:off x="10037817715" y="25281932"/>
          <a:ext cx="2012675" cy="61705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-113299263</xdr:colOff>
      <xdr:row>119</xdr:row>
      <xdr:rowOff>95493</xdr:rowOff>
    </xdr:from>
    <xdr:to>
      <xdr:col>0</xdr:col>
      <xdr:colOff>-110615698</xdr:colOff>
      <xdr:row>123</xdr:row>
      <xdr:rowOff>37515</xdr:rowOff>
    </xdr:to>
    <xdr:sp macro="" textlink="">
      <xdr:nvSpPr>
        <xdr:cNvPr id="78" name="TextBox 77"/>
        <xdr:cNvSpPr txBox="1"/>
      </xdr:nvSpPr>
      <xdr:spPr>
        <a:xfrm>
          <a:off x="10035183845" y="26698258"/>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להזין את</a:t>
          </a:r>
          <a:r>
            <a:rPr lang="he-IL" sz="1100" baseline="0"/>
            <a:t> סוגי העלויות המשתנות שקיימות למלון</a:t>
          </a:r>
        </a:p>
      </xdr:txBody>
    </xdr:sp>
    <xdr:clientData/>
  </xdr:twoCellAnchor>
  <xdr:twoCellAnchor>
    <xdr:from>
      <xdr:col>0</xdr:col>
      <xdr:colOff>-113299263</xdr:colOff>
      <xdr:row>123</xdr:row>
      <xdr:rowOff>186601</xdr:rowOff>
    </xdr:from>
    <xdr:to>
      <xdr:col>0</xdr:col>
      <xdr:colOff>-110615698</xdr:colOff>
      <xdr:row>128</xdr:row>
      <xdr:rowOff>37514</xdr:rowOff>
    </xdr:to>
    <xdr:sp macro="" textlink="">
      <xdr:nvSpPr>
        <xdr:cNvPr id="79" name="TextBox 78"/>
        <xdr:cNvSpPr txBox="1"/>
      </xdr:nvSpPr>
      <xdr:spPr>
        <a:xfrm>
          <a:off x="10035183845" y="27551366"/>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לכל</a:t>
          </a:r>
          <a:r>
            <a:rPr lang="he-IL" sz="1100" baseline="0">
              <a:solidFill>
                <a:schemeClr val="dk1"/>
              </a:solidFill>
              <a:latin typeface="+mn-lt"/>
              <a:ea typeface="+mn-ea"/>
              <a:cs typeface="+mn-cs"/>
            </a:rPr>
            <a:t> הוצאה משתנה יש להזין את גובה ההוצאה</a:t>
          </a:r>
          <a:endParaRPr lang="he-IL" sz="1100">
            <a:solidFill>
              <a:schemeClr val="dk1"/>
            </a:solidFill>
            <a:latin typeface="+mn-lt"/>
            <a:ea typeface="+mn-ea"/>
            <a:cs typeface="+mn-cs"/>
          </a:endParaRPr>
        </a:p>
        <a:p>
          <a:pPr marL="0" indent="0" algn="r" rtl="1"/>
          <a:r>
            <a:rPr lang="he-IL" sz="1100">
              <a:solidFill>
                <a:schemeClr val="dk1"/>
              </a:solidFill>
              <a:latin typeface="+mn-lt"/>
              <a:ea typeface="+mn-ea"/>
              <a:cs typeface="+mn-cs"/>
            </a:rPr>
            <a:t>המשתנה ב-100% תפוסה!!!</a:t>
          </a:r>
        </a:p>
        <a:p>
          <a:pPr marL="0" indent="0" algn="r" rtl="1"/>
          <a:r>
            <a:rPr lang="he-IL" sz="1100">
              <a:solidFill>
                <a:schemeClr val="dk1"/>
              </a:solidFill>
              <a:latin typeface="+mn-lt"/>
              <a:ea typeface="+mn-ea"/>
              <a:cs typeface="+mn-cs"/>
            </a:rPr>
            <a:t>כלומר,</a:t>
          </a:r>
          <a:r>
            <a:rPr lang="he-IL" sz="1100" baseline="0">
              <a:solidFill>
                <a:schemeClr val="dk1"/>
              </a:solidFill>
              <a:latin typeface="+mn-lt"/>
              <a:ea typeface="+mn-ea"/>
              <a:cs typeface="+mn-cs"/>
            </a:rPr>
            <a:t> אם יש לי 100% תפוסה אז גובה ההוצאה שלי הוא __</a:t>
          </a:r>
        </a:p>
        <a:p>
          <a:pPr marL="0" indent="0" algn="r" rtl="1"/>
          <a:endParaRPr lang="he-IL" sz="1100">
            <a:solidFill>
              <a:schemeClr val="dk1"/>
            </a:solidFill>
            <a:latin typeface="+mn-lt"/>
            <a:ea typeface="+mn-ea"/>
            <a:cs typeface="+mn-cs"/>
          </a:endParaRPr>
        </a:p>
      </xdr:txBody>
    </xdr:sp>
    <xdr:clientData/>
  </xdr:twoCellAnchor>
  <xdr:twoCellAnchor>
    <xdr:from>
      <xdr:col>0</xdr:col>
      <xdr:colOff>-113290979</xdr:colOff>
      <xdr:row>129</xdr:row>
      <xdr:rowOff>29233</xdr:rowOff>
    </xdr:from>
    <xdr:to>
      <xdr:col>0</xdr:col>
      <xdr:colOff>-110607414</xdr:colOff>
      <xdr:row>132</xdr:row>
      <xdr:rowOff>161755</xdr:rowOff>
    </xdr:to>
    <xdr:sp macro="" textlink="">
      <xdr:nvSpPr>
        <xdr:cNvPr id="80" name="TextBox 79"/>
        <xdr:cNvSpPr txBox="1"/>
      </xdr:nvSpPr>
      <xdr:spPr>
        <a:xfrm>
          <a:off x="10035175561" y="28536998"/>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יש לציין</a:t>
          </a:r>
          <a:r>
            <a:rPr lang="he-IL" sz="1100" baseline="0">
              <a:solidFill>
                <a:schemeClr val="dk1"/>
              </a:solidFill>
              <a:latin typeface="+mn-lt"/>
              <a:ea typeface="+mn-ea"/>
              <a:cs typeface="+mn-cs"/>
            </a:rPr>
            <a:t> לכל הוצאה אם היא הוצאה בלתי נמנעת או לא. הוצאה בלתי נמנעת הינה הוצאה שגם אם המלון סגור לחלוטין עדיין חייבים להוציא את ההוצאה הנ"ל.</a:t>
          </a:r>
          <a:endParaRPr lang="he-IL" sz="1100">
            <a:solidFill>
              <a:schemeClr val="dk1"/>
            </a:solidFill>
            <a:latin typeface="+mn-lt"/>
            <a:ea typeface="+mn-ea"/>
            <a:cs typeface="+mn-cs"/>
          </a:endParaRPr>
        </a:p>
      </xdr:txBody>
    </xdr:sp>
    <xdr:clientData/>
  </xdr:twoCellAnchor>
  <xdr:twoCellAnchor>
    <xdr:from>
      <xdr:col>0</xdr:col>
      <xdr:colOff>-117854701</xdr:colOff>
      <xdr:row>121</xdr:row>
      <xdr:rowOff>66504</xdr:rowOff>
    </xdr:from>
    <xdr:to>
      <xdr:col>0</xdr:col>
      <xdr:colOff>-113299263</xdr:colOff>
      <xdr:row>125</xdr:row>
      <xdr:rowOff>120341</xdr:rowOff>
    </xdr:to>
    <xdr:cxnSp macro="">
      <xdr:nvCxnSpPr>
        <xdr:cNvPr id="81" name="Straight Arrow Connector 80"/>
        <xdr:cNvCxnSpPr>
          <a:endCxn id="78" idx="3"/>
        </xdr:cNvCxnSpPr>
      </xdr:nvCxnSpPr>
      <xdr:spPr>
        <a:xfrm flipH="1" flipV="1">
          <a:off x="10037867410" y="27050269"/>
          <a:ext cx="4555438" cy="81583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-116131917</xdr:colOff>
      <xdr:row>125</xdr:row>
      <xdr:rowOff>70646</xdr:rowOff>
    </xdr:from>
    <xdr:to>
      <xdr:col>0</xdr:col>
      <xdr:colOff>-113299263</xdr:colOff>
      <xdr:row>126</xdr:row>
      <xdr:rowOff>16808</xdr:rowOff>
    </xdr:to>
    <xdr:cxnSp macro="">
      <xdr:nvCxnSpPr>
        <xdr:cNvPr id="82" name="Straight Arrow Connector 81"/>
        <xdr:cNvCxnSpPr>
          <a:endCxn id="79" idx="3"/>
        </xdr:cNvCxnSpPr>
      </xdr:nvCxnSpPr>
      <xdr:spPr>
        <a:xfrm flipH="1">
          <a:off x="10037867410" y="27816411"/>
          <a:ext cx="2832654" cy="13666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-115253960</xdr:colOff>
      <xdr:row>125</xdr:row>
      <xdr:rowOff>170037</xdr:rowOff>
    </xdr:from>
    <xdr:to>
      <xdr:col>0</xdr:col>
      <xdr:colOff>-113290979</xdr:colOff>
      <xdr:row>131</xdr:row>
      <xdr:rowOff>244</xdr:rowOff>
    </xdr:to>
    <xdr:cxnSp macro="">
      <xdr:nvCxnSpPr>
        <xdr:cNvPr id="83" name="Straight Arrow Connector 82"/>
        <xdr:cNvCxnSpPr>
          <a:endCxn id="80" idx="3"/>
        </xdr:cNvCxnSpPr>
      </xdr:nvCxnSpPr>
      <xdr:spPr>
        <a:xfrm flipH="1">
          <a:off x="10037859126" y="27915802"/>
          <a:ext cx="1962981" cy="97320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4240694</xdr:colOff>
      <xdr:row>137</xdr:row>
      <xdr:rowOff>33130</xdr:rowOff>
    </xdr:from>
    <xdr:to>
      <xdr:col>1</xdr:col>
      <xdr:colOff>6924259</xdr:colOff>
      <xdr:row>140</xdr:row>
      <xdr:rowOff>160780</xdr:rowOff>
    </xdr:to>
    <xdr:sp macro="" textlink="">
      <xdr:nvSpPr>
        <xdr:cNvPr id="90" name="TextBox 89"/>
        <xdr:cNvSpPr txBox="1"/>
      </xdr:nvSpPr>
      <xdr:spPr>
        <a:xfrm>
          <a:off x="10045214089" y="27075847"/>
          <a:ext cx="2683565" cy="6991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הוזן כי המלון</a:t>
          </a:r>
          <a:r>
            <a:rPr lang="he-IL" sz="1100" baseline="0"/>
            <a:t> מוציא בכל חודש על שכירות בלי קשר להיקף הפעילות שלו (עלות קבועה).</a:t>
          </a:r>
        </a:p>
      </xdr:txBody>
    </xdr:sp>
    <xdr:clientData/>
  </xdr:twoCellAnchor>
  <xdr:twoCellAnchor>
    <xdr:from>
      <xdr:col>1</xdr:col>
      <xdr:colOff>4240695</xdr:colOff>
      <xdr:row>141</xdr:row>
      <xdr:rowOff>86236</xdr:rowOff>
    </xdr:from>
    <xdr:to>
      <xdr:col>1</xdr:col>
      <xdr:colOff>6924260</xdr:colOff>
      <xdr:row>145</xdr:row>
      <xdr:rowOff>28258</xdr:rowOff>
    </xdr:to>
    <xdr:sp macro="" textlink="">
      <xdr:nvSpPr>
        <xdr:cNvPr id="91" name="TextBox 90"/>
        <xdr:cNvSpPr txBox="1"/>
      </xdr:nvSpPr>
      <xdr:spPr>
        <a:xfrm>
          <a:off x="10045214088" y="27890953"/>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גובה ההוצאה הקבועה על שכירות</a:t>
          </a:r>
          <a:r>
            <a:rPr lang="he-IL" sz="1100" baseline="0">
              <a:solidFill>
                <a:schemeClr val="dk1"/>
              </a:solidFill>
              <a:latin typeface="+mn-lt"/>
              <a:ea typeface="+mn-ea"/>
              <a:cs typeface="+mn-cs"/>
            </a:rPr>
            <a:t> הינה 245,000 ש"ח בחודש.</a:t>
          </a:r>
          <a:endParaRPr lang="he-IL" sz="110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1109870</xdr:colOff>
      <xdr:row>138</xdr:row>
      <xdr:rowOff>157370</xdr:rowOff>
    </xdr:from>
    <xdr:to>
      <xdr:col>1</xdr:col>
      <xdr:colOff>4240694</xdr:colOff>
      <xdr:row>139</xdr:row>
      <xdr:rowOff>1705</xdr:rowOff>
    </xdr:to>
    <xdr:cxnSp macro="">
      <xdr:nvCxnSpPr>
        <xdr:cNvPr id="93" name="Straight Arrow Connector 92"/>
        <xdr:cNvCxnSpPr>
          <a:endCxn id="90" idx="3"/>
        </xdr:cNvCxnSpPr>
      </xdr:nvCxnSpPr>
      <xdr:spPr>
        <a:xfrm flipH="1">
          <a:off x="10047897654" y="27390587"/>
          <a:ext cx="3130824" cy="348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3039718</xdr:colOff>
      <xdr:row>139</xdr:row>
      <xdr:rowOff>8283</xdr:rowOff>
    </xdr:from>
    <xdr:to>
      <xdr:col>1</xdr:col>
      <xdr:colOff>4240695</xdr:colOff>
      <xdr:row>143</xdr:row>
      <xdr:rowOff>57247</xdr:rowOff>
    </xdr:to>
    <xdr:cxnSp macro="">
      <xdr:nvCxnSpPr>
        <xdr:cNvPr id="94" name="Straight Arrow Connector 93"/>
        <xdr:cNvCxnSpPr>
          <a:endCxn id="91" idx="3"/>
        </xdr:cNvCxnSpPr>
      </xdr:nvCxnSpPr>
      <xdr:spPr>
        <a:xfrm flipH="1">
          <a:off x="10047897653" y="27432000"/>
          <a:ext cx="1200977" cy="81096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4199290</xdr:colOff>
      <xdr:row>151</xdr:row>
      <xdr:rowOff>24848</xdr:rowOff>
    </xdr:from>
    <xdr:to>
      <xdr:col>1</xdr:col>
      <xdr:colOff>6882855</xdr:colOff>
      <xdr:row>154</xdr:row>
      <xdr:rowOff>157370</xdr:rowOff>
    </xdr:to>
    <xdr:sp macro="" textlink="">
      <xdr:nvSpPr>
        <xdr:cNvPr id="96" name="TextBox 95"/>
        <xdr:cNvSpPr txBox="1"/>
      </xdr:nvSpPr>
      <xdr:spPr>
        <a:xfrm>
          <a:off x="10045255493" y="29734565"/>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כאשר המלון פתוח, מתהוות לו עלויות מזון ומשקאות. ככל שיש יותר אורחים, עלות המזון ומשקאות עולה.</a:t>
          </a:r>
        </a:p>
      </xdr:txBody>
    </xdr:sp>
    <xdr:clientData/>
  </xdr:twoCellAnchor>
  <xdr:twoCellAnchor>
    <xdr:from>
      <xdr:col>1</xdr:col>
      <xdr:colOff>4182724</xdr:colOff>
      <xdr:row>155</xdr:row>
      <xdr:rowOff>49692</xdr:rowOff>
    </xdr:from>
    <xdr:to>
      <xdr:col>1</xdr:col>
      <xdr:colOff>6866289</xdr:colOff>
      <xdr:row>159</xdr:row>
      <xdr:rowOff>91105</xdr:rowOff>
    </xdr:to>
    <xdr:sp macro="" textlink="">
      <xdr:nvSpPr>
        <xdr:cNvPr id="97" name="TextBox 96"/>
        <xdr:cNvSpPr txBox="1"/>
      </xdr:nvSpPr>
      <xdr:spPr>
        <a:xfrm>
          <a:off x="10045272059" y="30521409"/>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1100">
              <a:solidFill>
                <a:schemeClr val="dk1"/>
              </a:solidFill>
              <a:effectLst/>
              <a:latin typeface="+mn-lt"/>
              <a:ea typeface="+mn-ea"/>
              <a:cs typeface="+mn-cs"/>
            </a:rPr>
            <a:t>אם המלון</a:t>
          </a:r>
          <a:r>
            <a:rPr lang="he-IL" sz="1100" baseline="0">
              <a:solidFill>
                <a:schemeClr val="dk1"/>
              </a:solidFill>
              <a:effectLst/>
              <a:latin typeface="+mn-lt"/>
              <a:ea typeface="+mn-ea"/>
              <a:cs typeface="+mn-cs"/>
            </a:rPr>
            <a:t> </a:t>
          </a:r>
          <a:r>
            <a:rPr lang="he-IL" sz="1100" b="1" baseline="0">
              <a:solidFill>
                <a:schemeClr val="dk1"/>
              </a:solidFill>
              <a:effectLst/>
              <a:latin typeface="+mn-lt"/>
              <a:ea typeface="+mn-ea"/>
              <a:cs typeface="+mn-cs"/>
            </a:rPr>
            <a:t>ב-100% תפוסה </a:t>
          </a:r>
          <a:r>
            <a:rPr lang="he-IL" sz="1100" baseline="0">
              <a:solidFill>
                <a:schemeClr val="dk1"/>
              </a:solidFill>
              <a:effectLst/>
              <a:latin typeface="+mn-lt"/>
              <a:ea typeface="+mn-ea"/>
              <a:cs typeface="+mn-cs"/>
            </a:rPr>
            <a:t>המלון עתיד להוציא 343,000 ש"ח על מזון ומשקאות.</a:t>
          </a:r>
          <a:endParaRPr lang="en-US">
            <a:effectLst/>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1565413</xdr:colOff>
      <xdr:row>152</xdr:row>
      <xdr:rowOff>140805</xdr:rowOff>
    </xdr:from>
    <xdr:to>
      <xdr:col>1</xdr:col>
      <xdr:colOff>4282116</xdr:colOff>
      <xdr:row>152</xdr:row>
      <xdr:rowOff>144946</xdr:rowOff>
    </xdr:to>
    <xdr:cxnSp macro="">
      <xdr:nvCxnSpPr>
        <xdr:cNvPr id="99" name="Straight Arrow Connector 98"/>
        <xdr:cNvCxnSpPr/>
      </xdr:nvCxnSpPr>
      <xdr:spPr>
        <a:xfrm flipH="1">
          <a:off x="10047856232" y="30041022"/>
          <a:ext cx="2716703" cy="414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2990022</xdr:colOff>
      <xdr:row>153</xdr:row>
      <xdr:rowOff>82826</xdr:rowOff>
    </xdr:from>
    <xdr:to>
      <xdr:col>1</xdr:col>
      <xdr:colOff>4182724</xdr:colOff>
      <xdr:row>157</xdr:row>
      <xdr:rowOff>70399</xdr:rowOff>
    </xdr:to>
    <xdr:cxnSp macro="">
      <xdr:nvCxnSpPr>
        <xdr:cNvPr id="100" name="Straight Arrow Connector 99"/>
        <xdr:cNvCxnSpPr/>
      </xdr:nvCxnSpPr>
      <xdr:spPr>
        <a:xfrm flipH="1">
          <a:off x="10047955624" y="30173543"/>
          <a:ext cx="1192702" cy="74957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207</xdr:col>
      <xdr:colOff>352743</xdr:colOff>
      <xdr:row>103</xdr:row>
      <xdr:rowOff>186115</xdr:rowOff>
    </xdr:from>
    <xdr:to>
      <xdr:col>211</xdr:col>
      <xdr:colOff>584655</xdr:colOff>
      <xdr:row>107</xdr:row>
      <xdr:rowOff>78441</xdr:rowOff>
    </xdr:to>
    <xdr:sp macro="" textlink="">
      <xdr:nvSpPr>
        <xdr:cNvPr id="103" name="TextBox 102"/>
        <xdr:cNvSpPr txBox="1"/>
      </xdr:nvSpPr>
      <xdr:spPr>
        <a:xfrm>
          <a:off x="9912057997" y="23725289"/>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יש להזין את</a:t>
          </a:r>
          <a:r>
            <a:rPr lang="he-IL" sz="1100" baseline="0"/>
            <a:t> סוגי העלויות הקבועות שקיימות למלון</a:t>
          </a:r>
        </a:p>
      </xdr:txBody>
    </xdr:sp>
    <xdr:clientData/>
  </xdr:twoCellAnchor>
  <xdr:twoCellAnchor>
    <xdr:from>
      <xdr:col>1</xdr:col>
      <xdr:colOff>7147890</xdr:colOff>
      <xdr:row>106</xdr:row>
      <xdr:rowOff>140806</xdr:rowOff>
    </xdr:from>
    <xdr:to>
      <xdr:col>1</xdr:col>
      <xdr:colOff>10336695</xdr:colOff>
      <xdr:row>113</xdr:row>
      <xdr:rowOff>41414</xdr:rowOff>
    </xdr:to>
    <xdr:sp macro="" textlink="">
      <xdr:nvSpPr>
        <xdr:cNvPr id="104" name="TextBox 103"/>
        <xdr:cNvSpPr txBox="1"/>
      </xdr:nvSpPr>
      <xdr:spPr>
        <a:xfrm>
          <a:off x="10041801653" y="21278023"/>
          <a:ext cx="3188805" cy="1234108"/>
        </a:xfrm>
        <a:prstGeom prst="rect">
          <a:avLst/>
        </a:prstGeom>
        <a:solidFill>
          <a:schemeClr val="accent1">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עלות קבועה - הגדרה:</a:t>
          </a:r>
        </a:p>
        <a:p>
          <a:pPr algn="r" rtl="1"/>
          <a:r>
            <a:rPr lang="he-IL" sz="1100" baseline="0"/>
            <a:t>עלות קיימת בלי קשר להיקף הפעילות של העסק. אם לעסק יש לקוח 1 בחודש או 1,000 גובה העלות נשארת זהה.</a:t>
          </a:r>
        </a:p>
        <a:p>
          <a:pPr algn="r" rtl="1"/>
          <a:r>
            <a:rPr lang="he-IL" sz="1100" baseline="0"/>
            <a:t>דוגמא - ארנונה אשר אינה משתנה בהתאם לכמות המכירות.</a:t>
          </a:r>
        </a:p>
        <a:p>
          <a:pPr algn="r" rtl="1"/>
          <a:endParaRPr lang="he-IL" sz="1100" baseline="0"/>
        </a:p>
      </xdr:txBody>
    </xdr:sp>
    <xdr:clientData/>
  </xdr:twoCellAnchor>
  <xdr:twoCellAnchor>
    <xdr:from>
      <xdr:col>1</xdr:col>
      <xdr:colOff>7147889</xdr:colOff>
      <xdr:row>113</xdr:row>
      <xdr:rowOff>99393</xdr:rowOff>
    </xdr:from>
    <xdr:to>
      <xdr:col>1</xdr:col>
      <xdr:colOff>10336694</xdr:colOff>
      <xdr:row>120</xdr:row>
      <xdr:rowOff>182219</xdr:rowOff>
    </xdr:to>
    <xdr:sp macro="" textlink="">
      <xdr:nvSpPr>
        <xdr:cNvPr id="105" name="TextBox 104"/>
        <xdr:cNvSpPr txBox="1"/>
      </xdr:nvSpPr>
      <xdr:spPr>
        <a:xfrm>
          <a:off x="10041801654" y="22570110"/>
          <a:ext cx="3188805" cy="1416326"/>
        </a:xfrm>
        <a:prstGeom prst="rect">
          <a:avLst/>
        </a:prstGeom>
        <a:solidFill>
          <a:schemeClr val="accent1">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עלות משתנה - הגדרה:</a:t>
          </a:r>
        </a:p>
        <a:p>
          <a:pPr algn="r" rtl="1"/>
          <a:r>
            <a:rPr lang="he-IL" sz="1100" baseline="0"/>
            <a:t>עלות אשר יש לה קשר להיקף הפעילות של העסק. אם העלות משתנה בהתאם לכמות הלקוחות/מכירות של העסק, העלות הינה עלות משתנה.</a:t>
          </a:r>
        </a:p>
        <a:p>
          <a:pPr algn="r" rtl="1"/>
          <a:r>
            <a:rPr lang="he-IL" sz="1100" baseline="0"/>
            <a:t>דוגמא - הוצאות החשמל והמים גדלות ככל שיש יותר אורחים במלון ולכן מים וחשמל הן עלויות משתנות.</a:t>
          </a:r>
        </a:p>
        <a:p>
          <a:pPr algn="r" rtl="1"/>
          <a:endParaRPr lang="he-IL" sz="1100" baseline="0"/>
        </a:p>
        <a:p>
          <a:pPr algn="r" rtl="1"/>
          <a:endParaRPr lang="he-IL" sz="1100" baseline="0"/>
        </a:p>
      </xdr:txBody>
    </xdr:sp>
    <xdr:clientData/>
  </xdr:twoCellAnchor>
  <xdr:twoCellAnchor>
    <xdr:from>
      <xdr:col>2</xdr:col>
      <xdr:colOff>869673</xdr:colOff>
      <xdr:row>172</xdr:row>
      <xdr:rowOff>33128</xdr:rowOff>
    </xdr:from>
    <xdr:to>
      <xdr:col>7</xdr:col>
      <xdr:colOff>347869</xdr:colOff>
      <xdr:row>178</xdr:row>
      <xdr:rowOff>124237</xdr:rowOff>
    </xdr:to>
    <xdr:sp macro="" textlink="">
      <xdr:nvSpPr>
        <xdr:cNvPr id="106" name="TextBox 105"/>
        <xdr:cNvSpPr txBox="1"/>
      </xdr:nvSpPr>
      <xdr:spPr>
        <a:xfrm>
          <a:off x="10037329044" y="33743345"/>
          <a:ext cx="3188805" cy="1234109"/>
        </a:xfrm>
        <a:prstGeom prst="rect">
          <a:avLst/>
        </a:prstGeom>
        <a:solidFill>
          <a:schemeClr val="accent1">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עלות בלתי</a:t>
          </a:r>
          <a:r>
            <a:rPr lang="he-IL" sz="1100" baseline="0"/>
            <a:t> נמנעת</a:t>
          </a:r>
          <a:r>
            <a:rPr lang="he-IL" sz="1100"/>
            <a:t>- הגדרה:</a:t>
          </a:r>
        </a:p>
        <a:p>
          <a:pPr algn="r" rtl="1"/>
          <a:r>
            <a:rPr lang="he-IL" sz="1100" baseline="0"/>
            <a:t>עלות אשר לא ניתן להימנע מלהוציא אותה גם כאשר העסק מפסיק את פעילותו.</a:t>
          </a:r>
        </a:p>
        <a:p>
          <a:pPr algn="r" rtl="1"/>
          <a:r>
            <a:rPr lang="he-IL" sz="1100" baseline="0"/>
            <a:t>דוגמא - מעבר לכך שארנונה היא עלות קבועה, הינה גם עלות בלתי נמנעת מכיוון שגם אם אסגור את העסק לחודש שלם, עדיין אצטרך לשלם ארנונה.</a:t>
          </a:r>
        </a:p>
        <a:p>
          <a:pPr algn="r" rtl="1"/>
          <a:endParaRPr lang="he-IL" sz="1100" baseline="0"/>
        </a:p>
      </xdr:txBody>
    </xdr:sp>
    <xdr:clientData/>
  </xdr:twoCellAnchor>
  <xdr:twoCellAnchor>
    <xdr:from>
      <xdr:col>1</xdr:col>
      <xdr:colOff>10378106</xdr:colOff>
      <xdr:row>106</xdr:row>
      <xdr:rowOff>132522</xdr:rowOff>
    </xdr:from>
    <xdr:to>
      <xdr:col>5</xdr:col>
      <xdr:colOff>455541</xdr:colOff>
      <xdr:row>120</xdr:row>
      <xdr:rowOff>182218</xdr:rowOff>
    </xdr:to>
    <xdr:sp macro="" textlink="">
      <xdr:nvSpPr>
        <xdr:cNvPr id="107" name="TextBox 106"/>
        <xdr:cNvSpPr txBox="1"/>
      </xdr:nvSpPr>
      <xdr:spPr>
        <a:xfrm>
          <a:off x="10038571437" y="21269739"/>
          <a:ext cx="3188805" cy="2716696"/>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טיפ:</a:t>
          </a:r>
        </a:p>
        <a:p>
          <a:pPr algn="r" rtl="1"/>
          <a:r>
            <a:rPr lang="he-IL" sz="1100" baseline="0"/>
            <a:t>ניתן לפצל הוצאה לשניים - חלק משתנה וחלק קבועה. ככה ניתן לשפר ולדייק את הנתונים שמכניסים.</a:t>
          </a:r>
        </a:p>
        <a:p>
          <a:pPr algn="r" rtl="1"/>
          <a:r>
            <a:rPr lang="he-IL" sz="1100" baseline="0"/>
            <a:t>נניח כי אני משלם שכר של 7,500 לעובד שלי אשר מחזיק את העסק לבד (נניח שזה צימר), בתפוסה של 100% אצטרך עוד עובד ועוד עובד במשרה חלקית אשר שכרם יעלה עוד כ-12,500.</a:t>
          </a:r>
        </a:p>
        <a:p>
          <a:pPr algn="r" rtl="1"/>
          <a:endParaRPr lang="he-IL" sz="1100" baseline="0"/>
        </a:p>
        <a:p>
          <a:pPr algn="r" rtl="1"/>
          <a:r>
            <a:rPr lang="he-IL" sz="1100" baseline="0"/>
            <a:t>במצב זה מומלץ לחלק את הוצאות השכר:</a:t>
          </a:r>
        </a:p>
        <a:p>
          <a:pPr algn="r" rtl="1"/>
          <a:r>
            <a:rPr lang="he-IL" sz="1100" baseline="0"/>
            <a:t>שכר שאני אוציא בלי קשר לכמה אורחים במלון שלי ואמלא עוד רובריקה בהוצאות המשתנות של שכר בגובה 12,500.</a:t>
          </a:r>
        </a:p>
        <a:p>
          <a:pPr algn="r" rtl="1"/>
          <a:endParaRPr lang="he-IL" sz="1100" baseline="0"/>
        </a:p>
        <a:p>
          <a:pPr algn="r" rtl="1"/>
          <a:r>
            <a:rPr lang="he-IL" sz="1100" baseline="0"/>
            <a:t>הטיפ הזה מיושם פה במדריך למשתמש</a:t>
          </a:r>
        </a:p>
      </xdr:txBody>
    </xdr:sp>
    <xdr:clientData/>
  </xdr:twoCellAnchor>
  <xdr:twoCellAnchor editAs="oneCell">
    <xdr:from>
      <xdr:col>1</xdr:col>
      <xdr:colOff>24848</xdr:colOff>
      <xdr:row>399</xdr:row>
      <xdr:rowOff>75459</xdr:rowOff>
    </xdr:from>
    <xdr:to>
      <xdr:col>1</xdr:col>
      <xdr:colOff>5035697</xdr:colOff>
      <xdr:row>401</xdr:row>
      <xdr:rowOff>151723</xdr:rowOff>
    </xdr:to>
    <xdr:pic>
      <xdr:nvPicPr>
        <xdr:cNvPr id="122" name="Picture 12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46597412" y="51088046"/>
          <a:ext cx="5010849" cy="457264"/>
        </a:xfrm>
        <a:prstGeom prst="rect">
          <a:avLst/>
        </a:prstGeom>
      </xdr:spPr>
    </xdr:pic>
    <xdr:clientData/>
  </xdr:twoCellAnchor>
  <xdr:twoCellAnchor editAs="oneCell">
    <xdr:from>
      <xdr:col>1</xdr:col>
      <xdr:colOff>8283</xdr:colOff>
      <xdr:row>395</xdr:row>
      <xdr:rowOff>92937</xdr:rowOff>
    </xdr:from>
    <xdr:to>
      <xdr:col>1</xdr:col>
      <xdr:colOff>5067188</xdr:colOff>
      <xdr:row>398</xdr:row>
      <xdr:rowOff>26332</xdr:rowOff>
    </xdr:to>
    <xdr:pic>
      <xdr:nvPicPr>
        <xdr:cNvPr id="123" name="Picture 122"/>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1293"/>
        <a:stretch/>
      </xdr:blipFill>
      <xdr:spPr>
        <a:xfrm>
          <a:off x="10046565921" y="50343524"/>
          <a:ext cx="5058905" cy="504895"/>
        </a:xfrm>
        <a:prstGeom prst="rect">
          <a:avLst/>
        </a:prstGeom>
      </xdr:spPr>
    </xdr:pic>
    <xdr:clientData/>
  </xdr:twoCellAnchor>
  <xdr:twoCellAnchor editAs="oneCell">
    <xdr:from>
      <xdr:col>1</xdr:col>
      <xdr:colOff>24849</xdr:colOff>
      <xdr:row>414</xdr:row>
      <xdr:rowOff>85565</xdr:rowOff>
    </xdr:from>
    <xdr:to>
      <xdr:col>1</xdr:col>
      <xdr:colOff>4921382</xdr:colOff>
      <xdr:row>416</xdr:row>
      <xdr:rowOff>142776</xdr:rowOff>
    </xdr:to>
    <xdr:pic>
      <xdr:nvPicPr>
        <xdr:cNvPr id="124" name="Picture 12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46711727" y="53955652"/>
          <a:ext cx="4896533" cy="438211"/>
        </a:xfrm>
        <a:prstGeom prst="rect">
          <a:avLst/>
        </a:prstGeom>
      </xdr:spPr>
    </xdr:pic>
    <xdr:clientData/>
  </xdr:twoCellAnchor>
  <xdr:twoCellAnchor editAs="oneCell">
    <xdr:from>
      <xdr:col>1</xdr:col>
      <xdr:colOff>8284</xdr:colOff>
      <xdr:row>410</xdr:row>
      <xdr:rowOff>86477</xdr:rowOff>
    </xdr:from>
    <xdr:to>
      <xdr:col>1</xdr:col>
      <xdr:colOff>4923870</xdr:colOff>
      <xdr:row>413</xdr:row>
      <xdr:rowOff>57978</xdr:rowOff>
    </xdr:to>
    <xdr:pic>
      <xdr:nvPicPr>
        <xdr:cNvPr id="125" name="Picture 12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046709239" y="53194564"/>
          <a:ext cx="4915586" cy="543001"/>
        </a:xfrm>
        <a:prstGeom prst="rect">
          <a:avLst/>
        </a:prstGeom>
      </xdr:spPr>
    </xdr:pic>
    <xdr:clientData/>
  </xdr:twoCellAnchor>
  <xdr:twoCellAnchor>
    <xdr:from>
      <xdr:col>1</xdr:col>
      <xdr:colOff>5516251</xdr:colOff>
      <xdr:row>397</xdr:row>
      <xdr:rowOff>107674</xdr:rowOff>
    </xdr:from>
    <xdr:to>
      <xdr:col>1</xdr:col>
      <xdr:colOff>8199816</xdr:colOff>
      <xdr:row>402</xdr:row>
      <xdr:rowOff>82826</xdr:rowOff>
    </xdr:to>
    <xdr:sp macro="" textlink="">
      <xdr:nvSpPr>
        <xdr:cNvPr id="132" name="TextBox 131"/>
        <xdr:cNvSpPr txBox="1"/>
      </xdr:nvSpPr>
      <xdr:spPr>
        <a:xfrm>
          <a:off x="10043433293" y="50739261"/>
          <a:ext cx="2683565" cy="92765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latin typeface="+mn-lt"/>
              <a:ea typeface="+mn-ea"/>
              <a:cs typeface="+mn-cs"/>
            </a:rPr>
            <a:t>הוזן כי בעל/ת</a:t>
          </a:r>
          <a:r>
            <a:rPr lang="he-IL" sz="1100" baseline="0">
              <a:solidFill>
                <a:schemeClr val="dk1"/>
              </a:solidFill>
              <a:latin typeface="+mn-lt"/>
              <a:ea typeface="+mn-ea"/>
              <a:cs typeface="+mn-cs"/>
            </a:rPr>
            <a:t> המלון בחר/ה להפחית את המחירים בכ-15% ולכן התפוסה תעלה גם כן.</a:t>
          </a:r>
        </a:p>
        <a:p>
          <a:pPr rtl="1"/>
          <a:r>
            <a:rPr lang="he-IL" sz="1100" baseline="0">
              <a:solidFill>
                <a:schemeClr val="dk1"/>
              </a:solidFill>
              <a:effectLst/>
              <a:latin typeface="+mn-lt"/>
              <a:ea typeface="+mn-ea"/>
              <a:cs typeface="+mn-cs"/>
            </a:rPr>
            <a:t>המודל יתעדכן אוטומטית לפי זה.</a:t>
          </a:r>
        </a:p>
        <a:p>
          <a:pPr rtl="1"/>
          <a:endParaRPr lang="en-US">
            <a:effectLst/>
          </a:endParaRPr>
        </a:p>
        <a:p>
          <a:pPr marL="0" indent="0" algn="r" rtl="1"/>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2758109</xdr:colOff>
      <xdr:row>400</xdr:row>
      <xdr:rowOff>0</xdr:rowOff>
    </xdr:from>
    <xdr:to>
      <xdr:col>1</xdr:col>
      <xdr:colOff>5516251</xdr:colOff>
      <xdr:row>400</xdr:row>
      <xdr:rowOff>66262</xdr:rowOff>
    </xdr:to>
    <xdr:cxnSp macro="">
      <xdr:nvCxnSpPr>
        <xdr:cNvPr id="133" name="Straight Arrow Connector 132"/>
        <xdr:cNvCxnSpPr>
          <a:endCxn id="132" idx="3"/>
        </xdr:cNvCxnSpPr>
      </xdr:nvCxnSpPr>
      <xdr:spPr>
        <a:xfrm flipH="1" flipV="1">
          <a:off x="10046116858" y="51203087"/>
          <a:ext cx="2758142" cy="6626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5292636</xdr:colOff>
      <xdr:row>412</xdr:row>
      <xdr:rowOff>0</xdr:rowOff>
    </xdr:from>
    <xdr:to>
      <xdr:col>1</xdr:col>
      <xdr:colOff>7976201</xdr:colOff>
      <xdr:row>416</xdr:row>
      <xdr:rowOff>41413</xdr:rowOff>
    </xdr:to>
    <xdr:sp macro="" textlink="">
      <xdr:nvSpPr>
        <xdr:cNvPr id="134" name="TextBox 133"/>
        <xdr:cNvSpPr txBox="1"/>
      </xdr:nvSpPr>
      <xdr:spPr>
        <a:xfrm>
          <a:off x="10043656908" y="53489087"/>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הוזן כי בעל/ת</a:t>
          </a:r>
          <a:r>
            <a:rPr lang="he-IL" sz="1100" baseline="0">
              <a:solidFill>
                <a:schemeClr val="dk1"/>
              </a:solidFill>
              <a:effectLst/>
              <a:latin typeface="+mn-lt"/>
              <a:ea typeface="+mn-ea"/>
              <a:cs typeface="+mn-cs"/>
            </a:rPr>
            <a:t> המלון י/תבצע מאמצים ויפחית את העלויות של המלון בכ-2,500.</a:t>
          </a:r>
          <a:endParaRPr lang="en-US">
            <a:effectLst/>
          </a:endParaRPr>
        </a:p>
        <a:p>
          <a:pPr marL="0" indent="0" algn="r" rtl="1"/>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2981739</xdr:colOff>
      <xdr:row>414</xdr:row>
      <xdr:rowOff>20707</xdr:rowOff>
    </xdr:from>
    <xdr:to>
      <xdr:col>1</xdr:col>
      <xdr:colOff>5292636</xdr:colOff>
      <xdr:row>415</xdr:row>
      <xdr:rowOff>115956</xdr:rowOff>
    </xdr:to>
    <xdr:cxnSp macro="">
      <xdr:nvCxnSpPr>
        <xdr:cNvPr id="135" name="Straight Arrow Connector 134"/>
        <xdr:cNvCxnSpPr>
          <a:endCxn id="134" idx="3"/>
        </xdr:cNvCxnSpPr>
      </xdr:nvCxnSpPr>
      <xdr:spPr>
        <a:xfrm flipH="1" flipV="1">
          <a:off x="10046340473" y="53890794"/>
          <a:ext cx="2310897" cy="28574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8100391</xdr:colOff>
      <xdr:row>41</xdr:row>
      <xdr:rowOff>107674</xdr:rowOff>
    </xdr:from>
    <xdr:to>
      <xdr:col>2</xdr:col>
      <xdr:colOff>33130</xdr:colOff>
      <xdr:row>45</xdr:row>
      <xdr:rowOff>49696</xdr:rowOff>
    </xdr:to>
    <xdr:sp macro="" textlink="">
      <xdr:nvSpPr>
        <xdr:cNvPr id="113" name="TextBox 112"/>
        <xdr:cNvSpPr txBox="1"/>
      </xdr:nvSpPr>
      <xdr:spPr>
        <a:xfrm>
          <a:off x="10041354392" y="8812696"/>
          <a:ext cx="2683565" cy="704022"/>
        </a:xfrm>
        <a:prstGeom prst="rect">
          <a:avLst/>
        </a:prstGeom>
        <a:solidFill>
          <a:schemeClr val="accent1">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דוגמא</a:t>
          </a:r>
          <a:r>
            <a:rPr lang="he-IL" sz="1100" baseline="0">
              <a:solidFill>
                <a:schemeClr val="dk1"/>
              </a:solidFill>
              <a:latin typeface="+mn-lt"/>
              <a:ea typeface="+mn-ea"/>
              <a:cs typeface="+mn-cs"/>
            </a:rPr>
            <a:t> - אם הוזן 15% הכוונה הינה ש</a:t>
          </a:r>
          <a:r>
            <a:rPr lang="he-IL" sz="1100">
              <a:solidFill>
                <a:schemeClr val="dk1"/>
              </a:solidFill>
              <a:latin typeface="+mn-lt"/>
              <a:ea typeface="+mn-ea"/>
              <a:cs typeface="+mn-cs"/>
            </a:rPr>
            <a:t>אם המלון יוריד את מחירי החדרים שלו בכ-10%, שיעור התפוסה יעלה בכ-15%.</a:t>
          </a:r>
        </a:p>
        <a:p>
          <a:pPr marL="0" indent="0" algn="r" rtl="1"/>
          <a:endParaRPr lang="he-IL" sz="1100">
            <a:solidFill>
              <a:schemeClr val="dk1"/>
            </a:solidFill>
            <a:latin typeface="+mn-lt"/>
            <a:ea typeface="+mn-ea"/>
            <a:cs typeface="+mn-cs"/>
          </a:endParaRPr>
        </a:p>
      </xdr:txBody>
    </xdr:sp>
    <xdr:clientData/>
  </xdr:twoCellAnchor>
  <xdr:twoCellAnchor>
    <xdr:from>
      <xdr:col>1</xdr:col>
      <xdr:colOff>4248987</xdr:colOff>
      <xdr:row>81</xdr:row>
      <xdr:rowOff>115950</xdr:rowOff>
    </xdr:from>
    <xdr:to>
      <xdr:col>1</xdr:col>
      <xdr:colOff>6932552</xdr:colOff>
      <xdr:row>85</xdr:row>
      <xdr:rowOff>57972</xdr:rowOff>
    </xdr:to>
    <xdr:sp macro="" textlink="">
      <xdr:nvSpPr>
        <xdr:cNvPr id="118" name="TextBox 117"/>
        <xdr:cNvSpPr txBox="1"/>
      </xdr:nvSpPr>
      <xdr:spPr>
        <a:xfrm>
          <a:off x="10045205796" y="17012472"/>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הוזן כי בחודש של 100% תפוסה, המלון עתיד להכניס כ-2,500,000 ש"ח משירותים ומוצרים שאינם לינות.</a:t>
          </a:r>
          <a:endParaRPr lang="en-US">
            <a:effectLst/>
          </a:endParaRPr>
        </a:p>
      </xdr:txBody>
    </xdr:sp>
    <xdr:clientData/>
  </xdr:twoCellAnchor>
  <xdr:twoCellAnchor>
    <xdr:from>
      <xdr:col>1</xdr:col>
      <xdr:colOff>2981739</xdr:colOff>
      <xdr:row>81</xdr:row>
      <xdr:rowOff>124239</xdr:rowOff>
    </xdr:from>
    <xdr:to>
      <xdr:col>1</xdr:col>
      <xdr:colOff>4248987</xdr:colOff>
      <xdr:row>83</xdr:row>
      <xdr:rowOff>86961</xdr:rowOff>
    </xdr:to>
    <xdr:cxnSp macro="">
      <xdr:nvCxnSpPr>
        <xdr:cNvPr id="128" name="Straight Arrow Connector 127"/>
        <xdr:cNvCxnSpPr>
          <a:endCxn id="118" idx="3"/>
        </xdr:cNvCxnSpPr>
      </xdr:nvCxnSpPr>
      <xdr:spPr>
        <a:xfrm flipH="1">
          <a:off x="10047889361" y="17020761"/>
          <a:ext cx="1267248" cy="34372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4174436</xdr:colOff>
      <xdr:row>53</xdr:row>
      <xdr:rowOff>57979</xdr:rowOff>
    </xdr:from>
    <xdr:to>
      <xdr:col>1</xdr:col>
      <xdr:colOff>6858001</xdr:colOff>
      <xdr:row>57</xdr:row>
      <xdr:rowOff>1</xdr:rowOff>
    </xdr:to>
    <xdr:sp macro="" textlink="">
      <xdr:nvSpPr>
        <xdr:cNvPr id="130" name="TextBox 129"/>
        <xdr:cNvSpPr txBox="1"/>
      </xdr:nvSpPr>
      <xdr:spPr>
        <a:xfrm>
          <a:off x="10045280347" y="11049001"/>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rtl="1"/>
          <a:r>
            <a:rPr lang="he-IL" sz="1100">
              <a:solidFill>
                <a:schemeClr val="dk1"/>
              </a:solidFill>
              <a:latin typeface="+mn-lt"/>
              <a:ea typeface="+mn-ea"/>
              <a:cs typeface="+mn-cs"/>
            </a:rPr>
            <a:t>יש להזין את ההכנסות המרביות שניתן להכניס בחודש משירותים ומוצאים</a:t>
          </a:r>
          <a:r>
            <a:rPr lang="he-IL" sz="1100" baseline="0">
              <a:solidFill>
                <a:schemeClr val="dk1"/>
              </a:solidFill>
              <a:latin typeface="+mn-lt"/>
              <a:ea typeface="+mn-ea"/>
              <a:cs typeface="+mn-cs"/>
            </a:rPr>
            <a:t> שאינם לינות</a:t>
          </a:r>
          <a:r>
            <a:rPr lang="he-IL" sz="1100">
              <a:solidFill>
                <a:schemeClr val="dk1"/>
              </a:solidFill>
              <a:latin typeface="+mn-lt"/>
              <a:ea typeface="+mn-ea"/>
              <a:cs typeface="+mn-cs"/>
            </a:rPr>
            <a:t>, כלומר חודש עם תפוסה מלאה של 100%.</a:t>
          </a:r>
        </a:p>
      </xdr:txBody>
    </xdr:sp>
    <xdr:clientData/>
  </xdr:twoCellAnchor>
  <xdr:twoCellAnchor>
    <xdr:from>
      <xdr:col>1</xdr:col>
      <xdr:colOff>2824370</xdr:colOff>
      <xdr:row>53</xdr:row>
      <xdr:rowOff>91108</xdr:rowOff>
    </xdr:from>
    <xdr:to>
      <xdr:col>1</xdr:col>
      <xdr:colOff>4174436</xdr:colOff>
      <xdr:row>55</xdr:row>
      <xdr:rowOff>28990</xdr:rowOff>
    </xdr:to>
    <xdr:cxnSp macro="">
      <xdr:nvCxnSpPr>
        <xdr:cNvPr id="131" name="Straight Arrow Connector 130"/>
        <xdr:cNvCxnSpPr>
          <a:endCxn id="130" idx="3"/>
        </xdr:cNvCxnSpPr>
      </xdr:nvCxnSpPr>
      <xdr:spPr>
        <a:xfrm flipH="1">
          <a:off x="10047963912" y="11082130"/>
          <a:ext cx="1350066" cy="31888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538369</xdr:colOff>
      <xdr:row>175</xdr:row>
      <xdr:rowOff>157368</xdr:rowOff>
    </xdr:from>
    <xdr:to>
      <xdr:col>2</xdr:col>
      <xdr:colOff>728878</xdr:colOff>
      <xdr:row>178</xdr:row>
      <xdr:rowOff>107673</xdr:rowOff>
    </xdr:to>
    <xdr:pic>
      <xdr:nvPicPr>
        <xdr:cNvPr id="43" name="Picture 4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040658644" y="34439085"/>
          <a:ext cx="11554248" cy="521805"/>
        </a:xfrm>
        <a:prstGeom prst="rect">
          <a:avLst/>
        </a:prstGeom>
      </xdr:spPr>
    </xdr:pic>
    <xdr:clientData/>
  </xdr:twoCellAnchor>
  <xdr:twoCellAnchor editAs="oneCell">
    <xdr:from>
      <xdr:col>0</xdr:col>
      <xdr:colOff>571501</xdr:colOff>
      <xdr:row>171</xdr:row>
      <xdr:rowOff>186570</xdr:rowOff>
    </xdr:from>
    <xdr:to>
      <xdr:col>2</xdr:col>
      <xdr:colOff>745435</xdr:colOff>
      <xdr:row>175</xdr:row>
      <xdr:rowOff>8284</xdr:rowOff>
    </xdr:to>
    <xdr:pic>
      <xdr:nvPicPr>
        <xdr:cNvPr id="64" name="Picture 6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040642087" y="33706287"/>
          <a:ext cx="11537673" cy="583714"/>
        </a:xfrm>
        <a:prstGeom prst="rect">
          <a:avLst/>
        </a:prstGeom>
      </xdr:spPr>
    </xdr:pic>
    <xdr:clientData/>
  </xdr:twoCellAnchor>
  <xdr:twoCellAnchor>
    <xdr:from>
      <xdr:col>1</xdr:col>
      <xdr:colOff>1921570</xdr:colOff>
      <xdr:row>165</xdr:row>
      <xdr:rowOff>8278</xdr:rowOff>
    </xdr:from>
    <xdr:to>
      <xdr:col>1</xdr:col>
      <xdr:colOff>4605135</xdr:colOff>
      <xdr:row>169</xdr:row>
      <xdr:rowOff>49691</xdr:rowOff>
    </xdr:to>
    <xdr:sp macro="" textlink="">
      <xdr:nvSpPr>
        <xdr:cNvPr id="162" name="TextBox 161"/>
        <xdr:cNvSpPr txBox="1"/>
      </xdr:nvSpPr>
      <xdr:spPr>
        <a:xfrm>
          <a:off x="10047533213" y="32384995"/>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יש לציין</a:t>
          </a:r>
          <a:r>
            <a:rPr lang="he-IL" sz="1100" baseline="0">
              <a:solidFill>
                <a:schemeClr val="dk1"/>
              </a:solidFill>
              <a:effectLst/>
              <a:latin typeface="+mn-lt"/>
              <a:ea typeface="+mn-ea"/>
              <a:cs typeface="+mn-cs"/>
            </a:rPr>
            <a:t> לכל הוצאה אם היא הוצאה בלתי נמנעת או לא. הוצאה בלתי נמנעת הינה הוצאה שגם אם המלון סגור לחלוטין עדיין חייבים להוציא את ההוצאה הנ"ל.</a:t>
          </a:r>
          <a:endParaRPr lang="en-US">
            <a:effectLst/>
          </a:endParaRPr>
        </a:p>
      </xdr:txBody>
    </xdr:sp>
    <xdr:clientData/>
  </xdr:twoCellAnchor>
  <xdr:twoCellAnchor>
    <xdr:from>
      <xdr:col>1</xdr:col>
      <xdr:colOff>4861896</xdr:colOff>
      <xdr:row>165</xdr:row>
      <xdr:rowOff>8278</xdr:rowOff>
    </xdr:from>
    <xdr:to>
      <xdr:col>1</xdr:col>
      <xdr:colOff>7545461</xdr:colOff>
      <xdr:row>169</xdr:row>
      <xdr:rowOff>49691</xdr:rowOff>
    </xdr:to>
    <xdr:sp macro="" textlink="">
      <xdr:nvSpPr>
        <xdr:cNvPr id="163" name="TextBox 162"/>
        <xdr:cNvSpPr txBox="1"/>
      </xdr:nvSpPr>
      <xdr:spPr>
        <a:xfrm>
          <a:off x="10044592887" y="32384995"/>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יש לציין</a:t>
          </a:r>
          <a:r>
            <a:rPr lang="he-IL" sz="1100" baseline="0">
              <a:solidFill>
                <a:schemeClr val="dk1"/>
              </a:solidFill>
              <a:effectLst/>
              <a:latin typeface="+mn-lt"/>
              <a:ea typeface="+mn-ea"/>
              <a:cs typeface="+mn-cs"/>
            </a:rPr>
            <a:t> לכל הוצאה כיצד יש לסווגה ברווח והפסד.</a:t>
          </a:r>
          <a:endParaRPr lang="en-US">
            <a:effectLst/>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7769092</xdr:colOff>
      <xdr:row>165</xdr:row>
      <xdr:rowOff>8278</xdr:rowOff>
    </xdr:from>
    <xdr:to>
      <xdr:col>1</xdr:col>
      <xdr:colOff>10452657</xdr:colOff>
      <xdr:row>169</xdr:row>
      <xdr:rowOff>49691</xdr:rowOff>
    </xdr:to>
    <xdr:sp macro="" textlink="">
      <xdr:nvSpPr>
        <xdr:cNvPr id="164" name="TextBox 163"/>
        <xdr:cNvSpPr txBox="1"/>
      </xdr:nvSpPr>
      <xdr:spPr>
        <a:xfrm>
          <a:off x="10041685691" y="32384995"/>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יש לציין</a:t>
          </a:r>
          <a:r>
            <a:rPr lang="he-IL" sz="1100" baseline="0">
              <a:solidFill>
                <a:schemeClr val="dk1"/>
              </a:solidFill>
              <a:effectLst/>
              <a:latin typeface="+mn-lt"/>
              <a:ea typeface="+mn-ea"/>
              <a:cs typeface="+mn-cs"/>
            </a:rPr>
            <a:t> לכל הוצאה האם הינה הוצאה תזרימית ("מזומן יוצא מהכיס") או לא.</a:t>
          </a:r>
          <a:endParaRPr lang="en-US">
            <a:effectLst/>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10634878</xdr:colOff>
      <xdr:row>165</xdr:row>
      <xdr:rowOff>8278</xdr:rowOff>
    </xdr:from>
    <xdr:to>
      <xdr:col>5</xdr:col>
      <xdr:colOff>207073</xdr:colOff>
      <xdr:row>169</xdr:row>
      <xdr:rowOff>49691</xdr:rowOff>
    </xdr:to>
    <xdr:sp macro="" textlink="">
      <xdr:nvSpPr>
        <xdr:cNvPr id="165" name="TextBox 164"/>
        <xdr:cNvSpPr txBox="1"/>
      </xdr:nvSpPr>
      <xdr:spPr>
        <a:xfrm>
          <a:off x="10038819905" y="32384995"/>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יש לציין</a:t>
          </a:r>
          <a:r>
            <a:rPr lang="he-IL" sz="1100" baseline="0">
              <a:solidFill>
                <a:schemeClr val="dk1"/>
              </a:solidFill>
              <a:effectLst/>
              <a:latin typeface="+mn-lt"/>
              <a:ea typeface="+mn-ea"/>
              <a:cs typeface="+mn-cs"/>
            </a:rPr>
            <a:t> לכל הוצאה האם הינה הוצאה תזרימית ("מזומן יוצא מהכיס") או לא.</a:t>
          </a:r>
          <a:endParaRPr lang="en-US">
            <a:effectLst/>
          </a:endParaRPr>
        </a:p>
      </xdr:txBody>
    </xdr:sp>
    <xdr:clientData/>
  </xdr:twoCellAnchor>
  <xdr:twoCellAnchor>
    <xdr:from>
      <xdr:col>1</xdr:col>
      <xdr:colOff>3263352</xdr:colOff>
      <xdr:row>169</xdr:row>
      <xdr:rowOff>49691</xdr:rowOff>
    </xdr:from>
    <xdr:to>
      <xdr:col>1</xdr:col>
      <xdr:colOff>4903305</xdr:colOff>
      <xdr:row>174</xdr:row>
      <xdr:rowOff>8283</xdr:rowOff>
    </xdr:to>
    <xdr:cxnSp macro="">
      <xdr:nvCxnSpPr>
        <xdr:cNvPr id="168" name="Straight Arrow Connector 167"/>
        <xdr:cNvCxnSpPr>
          <a:endCxn id="162" idx="2"/>
        </xdr:cNvCxnSpPr>
      </xdr:nvCxnSpPr>
      <xdr:spPr>
        <a:xfrm flipV="1">
          <a:off x="10047235043" y="33188408"/>
          <a:ext cx="1639953" cy="91109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6203678</xdr:colOff>
      <xdr:row>169</xdr:row>
      <xdr:rowOff>49691</xdr:rowOff>
    </xdr:from>
    <xdr:to>
      <xdr:col>1</xdr:col>
      <xdr:colOff>7363239</xdr:colOff>
      <xdr:row>174</xdr:row>
      <xdr:rowOff>41413</xdr:rowOff>
    </xdr:to>
    <xdr:cxnSp macro="">
      <xdr:nvCxnSpPr>
        <xdr:cNvPr id="169" name="Straight Arrow Connector 168"/>
        <xdr:cNvCxnSpPr>
          <a:endCxn id="163" idx="2"/>
        </xdr:cNvCxnSpPr>
      </xdr:nvCxnSpPr>
      <xdr:spPr>
        <a:xfrm flipV="1">
          <a:off x="10044775109" y="33188408"/>
          <a:ext cx="1159561" cy="94422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9011478</xdr:colOff>
      <xdr:row>169</xdr:row>
      <xdr:rowOff>49691</xdr:rowOff>
    </xdr:from>
    <xdr:to>
      <xdr:col>1</xdr:col>
      <xdr:colOff>9110874</xdr:colOff>
      <xdr:row>174</xdr:row>
      <xdr:rowOff>57979</xdr:rowOff>
    </xdr:to>
    <xdr:cxnSp macro="">
      <xdr:nvCxnSpPr>
        <xdr:cNvPr id="170" name="Straight Arrow Connector 169"/>
        <xdr:cNvCxnSpPr>
          <a:endCxn id="164" idx="2"/>
        </xdr:cNvCxnSpPr>
      </xdr:nvCxnSpPr>
      <xdr:spPr>
        <a:xfrm flipH="1" flipV="1">
          <a:off x="10043027474" y="33188408"/>
          <a:ext cx="99396" cy="96078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8283</xdr:colOff>
      <xdr:row>169</xdr:row>
      <xdr:rowOff>49691</xdr:rowOff>
    </xdr:from>
    <xdr:to>
      <xdr:col>3</xdr:col>
      <xdr:colOff>314747</xdr:colOff>
      <xdr:row>174</xdr:row>
      <xdr:rowOff>24848</xdr:rowOff>
    </xdr:to>
    <xdr:cxnSp macro="">
      <xdr:nvCxnSpPr>
        <xdr:cNvPr id="171" name="Straight Arrow Connector 170"/>
        <xdr:cNvCxnSpPr>
          <a:endCxn id="165" idx="2"/>
        </xdr:cNvCxnSpPr>
      </xdr:nvCxnSpPr>
      <xdr:spPr>
        <a:xfrm flipH="1" flipV="1">
          <a:off x="10040161688" y="33188408"/>
          <a:ext cx="1217551" cy="92765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1946427</xdr:colOff>
      <xdr:row>180</xdr:row>
      <xdr:rowOff>182211</xdr:rowOff>
    </xdr:from>
    <xdr:to>
      <xdr:col>1</xdr:col>
      <xdr:colOff>4629992</xdr:colOff>
      <xdr:row>185</xdr:row>
      <xdr:rowOff>33124</xdr:rowOff>
    </xdr:to>
    <xdr:sp macro="" textlink="">
      <xdr:nvSpPr>
        <xdr:cNvPr id="172" name="TextBox 171"/>
        <xdr:cNvSpPr txBox="1"/>
      </xdr:nvSpPr>
      <xdr:spPr>
        <a:xfrm>
          <a:off x="10047508356" y="35416428"/>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ההוצאה בלתי נמנעת,</a:t>
          </a:r>
          <a:r>
            <a:rPr lang="he-IL" sz="1100" baseline="0">
              <a:solidFill>
                <a:schemeClr val="dk1"/>
              </a:solidFill>
              <a:effectLst/>
              <a:latin typeface="+mn-lt"/>
              <a:ea typeface="+mn-ea"/>
              <a:cs typeface="+mn-cs"/>
            </a:rPr>
            <a:t> גם אם המלון סגור אני עדיין חייב/ת לשלם שכירות</a:t>
          </a:r>
          <a:endParaRPr lang="en-US">
            <a:effectLst/>
          </a:endParaRPr>
        </a:p>
      </xdr:txBody>
    </xdr:sp>
    <xdr:clientData/>
  </xdr:twoCellAnchor>
  <xdr:twoCellAnchor>
    <xdr:from>
      <xdr:col>1</xdr:col>
      <xdr:colOff>4886753</xdr:colOff>
      <xdr:row>180</xdr:row>
      <xdr:rowOff>182211</xdr:rowOff>
    </xdr:from>
    <xdr:to>
      <xdr:col>1</xdr:col>
      <xdr:colOff>7570318</xdr:colOff>
      <xdr:row>185</xdr:row>
      <xdr:rowOff>33124</xdr:rowOff>
    </xdr:to>
    <xdr:sp macro="" textlink="">
      <xdr:nvSpPr>
        <xdr:cNvPr id="173" name="TextBox 172"/>
        <xdr:cNvSpPr txBox="1"/>
      </xdr:nvSpPr>
      <xdr:spPr>
        <a:xfrm>
          <a:off x="10044568030" y="35416428"/>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את הוצאות</a:t>
          </a:r>
          <a:r>
            <a:rPr lang="he-IL" sz="1100" baseline="0">
              <a:solidFill>
                <a:schemeClr val="dk1"/>
              </a:solidFill>
              <a:effectLst/>
              <a:latin typeface="+mn-lt"/>
              <a:ea typeface="+mn-ea"/>
              <a:cs typeface="+mn-cs"/>
            </a:rPr>
            <a:t> השכירות במלון לדוגמא הם זוקפים כהוצאות בהנהלה וכלליות</a:t>
          </a:r>
          <a:endParaRPr lang="en-US">
            <a:effectLst/>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7793949</xdr:colOff>
      <xdr:row>180</xdr:row>
      <xdr:rowOff>182211</xdr:rowOff>
    </xdr:from>
    <xdr:to>
      <xdr:col>1</xdr:col>
      <xdr:colOff>10477514</xdr:colOff>
      <xdr:row>185</xdr:row>
      <xdr:rowOff>33124</xdr:rowOff>
    </xdr:to>
    <xdr:sp macro="" textlink="">
      <xdr:nvSpPr>
        <xdr:cNvPr id="174" name="TextBox 173"/>
        <xdr:cNvSpPr txBox="1"/>
      </xdr:nvSpPr>
      <xdr:spPr>
        <a:xfrm>
          <a:off x="10041660834" y="35416428"/>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מכיוון שמשלמים את השכירות היא הינה הוצאה תזרימי ולא רעיונית.</a:t>
          </a:r>
          <a:endParaRPr lang="en-US">
            <a:effectLst/>
          </a:endParaRPr>
        </a:p>
      </xdr:txBody>
    </xdr:sp>
    <xdr:clientData/>
  </xdr:twoCellAnchor>
  <xdr:twoCellAnchor>
    <xdr:from>
      <xdr:col>1</xdr:col>
      <xdr:colOff>10659735</xdr:colOff>
      <xdr:row>180</xdr:row>
      <xdr:rowOff>182211</xdr:rowOff>
    </xdr:from>
    <xdr:to>
      <xdr:col>5</xdr:col>
      <xdr:colOff>231930</xdr:colOff>
      <xdr:row>185</xdr:row>
      <xdr:rowOff>33124</xdr:rowOff>
    </xdr:to>
    <xdr:sp macro="" textlink="">
      <xdr:nvSpPr>
        <xdr:cNvPr id="175" name="TextBox 174"/>
        <xdr:cNvSpPr txBox="1"/>
      </xdr:nvSpPr>
      <xdr:spPr>
        <a:xfrm>
          <a:off x="10038795048" y="35416428"/>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בדוגמא, המלון משלם כל חודש בחודשו את דמי</a:t>
          </a:r>
          <a:r>
            <a:rPr lang="he-IL" sz="1100" baseline="0">
              <a:solidFill>
                <a:schemeClr val="dk1"/>
              </a:solidFill>
              <a:effectLst/>
              <a:latin typeface="+mn-lt"/>
              <a:ea typeface="+mn-ea"/>
              <a:cs typeface="+mn-cs"/>
            </a:rPr>
            <a:t> השכירות למשכיר.</a:t>
          </a:r>
          <a:endParaRPr lang="en-US">
            <a:effectLst/>
          </a:endParaRPr>
        </a:p>
      </xdr:txBody>
    </xdr:sp>
    <xdr:clientData/>
  </xdr:twoCellAnchor>
  <xdr:twoCellAnchor>
    <xdr:from>
      <xdr:col>1</xdr:col>
      <xdr:colOff>3288209</xdr:colOff>
      <xdr:row>178</xdr:row>
      <xdr:rowOff>8283</xdr:rowOff>
    </xdr:from>
    <xdr:to>
      <xdr:col>1</xdr:col>
      <xdr:colOff>4936435</xdr:colOff>
      <xdr:row>180</xdr:row>
      <xdr:rowOff>182211</xdr:rowOff>
    </xdr:to>
    <xdr:cxnSp macro="">
      <xdr:nvCxnSpPr>
        <xdr:cNvPr id="176" name="Straight Arrow Connector 175"/>
        <xdr:cNvCxnSpPr>
          <a:endCxn id="172" idx="0"/>
        </xdr:cNvCxnSpPr>
      </xdr:nvCxnSpPr>
      <xdr:spPr>
        <a:xfrm>
          <a:off x="10047201913" y="34861500"/>
          <a:ext cx="1648226" cy="5549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6228535</xdr:colOff>
      <xdr:row>178</xdr:row>
      <xdr:rowOff>24848</xdr:rowOff>
    </xdr:from>
    <xdr:to>
      <xdr:col>1</xdr:col>
      <xdr:colOff>7272131</xdr:colOff>
      <xdr:row>180</xdr:row>
      <xdr:rowOff>182211</xdr:rowOff>
    </xdr:to>
    <xdr:cxnSp macro="">
      <xdr:nvCxnSpPr>
        <xdr:cNvPr id="177" name="Straight Arrow Connector 176"/>
        <xdr:cNvCxnSpPr>
          <a:endCxn id="173" idx="0"/>
        </xdr:cNvCxnSpPr>
      </xdr:nvCxnSpPr>
      <xdr:spPr>
        <a:xfrm>
          <a:off x="10044866217" y="34878065"/>
          <a:ext cx="1043596" cy="5383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9061174</xdr:colOff>
      <xdr:row>178</xdr:row>
      <xdr:rowOff>115957</xdr:rowOff>
    </xdr:from>
    <xdr:to>
      <xdr:col>1</xdr:col>
      <xdr:colOff>9135731</xdr:colOff>
      <xdr:row>180</xdr:row>
      <xdr:rowOff>182211</xdr:rowOff>
    </xdr:to>
    <xdr:cxnSp macro="">
      <xdr:nvCxnSpPr>
        <xdr:cNvPr id="178" name="Straight Arrow Connector 177"/>
        <xdr:cNvCxnSpPr>
          <a:endCxn id="174" idx="0"/>
        </xdr:cNvCxnSpPr>
      </xdr:nvCxnSpPr>
      <xdr:spPr>
        <a:xfrm flipH="1">
          <a:off x="10043002617" y="34969174"/>
          <a:ext cx="74557" cy="44725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10676283</xdr:colOff>
      <xdr:row>178</xdr:row>
      <xdr:rowOff>82826</xdr:rowOff>
    </xdr:from>
    <xdr:to>
      <xdr:col>3</xdr:col>
      <xdr:colOff>339604</xdr:colOff>
      <xdr:row>180</xdr:row>
      <xdr:rowOff>182211</xdr:rowOff>
    </xdr:to>
    <xdr:cxnSp macro="">
      <xdr:nvCxnSpPr>
        <xdr:cNvPr id="179" name="Straight Arrow Connector 178"/>
        <xdr:cNvCxnSpPr>
          <a:endCxn id="175" idx="0"/>
        </xdr:cNvCxnSpPr>
      </xdr:nvCxnSpPr>
      <xdr:spPr>
        <a:xfrm flipH="1">
          <a:off x="10040136831" y="34936043"/>
          <a:ext cx="1325234" cy="48038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588067</xdr:colOff>
      <xdr:row>192</xdr:row>
      <xdr:rowOff>2</xdr:rowOff>
    </xdr:from>
    <xdr:to>
      <xdr:col>1</xdr:col>
      <xdr:colOff>3684890</xdr:colOff>
      <xdr:row>200</xdr:row>
      <xdr:rowOff>57981</xdr:rowOff>
    </xdr:to>
    <xdr:pic>
      <xdr:nvPicPr>
        <xdr:cNvPr id="191" name="Picture 190"/>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4549"/>
        <a:stretch/>
      </xdr:blipFill>
      <xdr:spPr>
        <a:xfrm>
          <a:off x="10048453458" y="37520219"/>
          <a:ext cx="3709736" cy="1598544"/>
        </a:xfrm>
        <a:prstGeom prst="rect">
          <a:avLst/>
        </a:prstGeom>
      </xdr:spPr>
    </xdr:pic>
    <xdr:clientData/>
  </xdr:twoCellAnchor>
  <xdr:twoCellAnchor>
    <xdr:from>
      <xdr:col>1</xdr:col>
      <xdr:colOff>4174450</xdr:colOff>
      <xdr:row>192</xdr:row>
      <xdr:rowOff>66249</xdr:rowOff>
    </xdr:from>
    <xdr:to>
      <xdr:col>1</xdr:col>
      <xdr:colOff>6858015</xdr:colOff>
      <xdr:row>196</xdr:row>
      <xdr:rowOff>8271</xdr:rowOff>
    </xdr:to>
    <xdr:sp macro="" textlink="">
      <xdr:nvSpPr>
        <xdr:cNvPr id="195" name="TextBox 194"/>
        <xdr:cNvSpPr txBox="1"/>
      </xdr:nvSpPr>
      <xdr:spPr>
        <a:xfrm>
          <a:off x="10045280333" y="37586466"/>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ניתן להזין האם יש הפסד צבור לניצול בכדי להפחית את חבות המס. יש לרשום את ההפסד הצבור נכון לתחילת המודל. בדוגמא הנ"ל, לא הוזן הפסד צבור ולכן הוא יעמוד על 0 במודל.</a:t>
          </a:r>
        </a:p>
      </xdr:txBody>
    </xdr:sp>
    <xdr:clientData/>
  </xdr:twoCellAnchor>
  <xdr:twoCellAnchor>
    <xdr:from>
      <xdr:col>1</xdr:col>
      <xdr:colOff>4157884</xdr:colOff>
      <xdr:row>196</xdr:row>
      <xdr:rowOff>91093</xdr:rowOff>
    </xdr:from>
    <xdr:to>
      <xdr:col>1</xdr:col>
      <xdr:colOff>6841449</xdr:colOff>
      <xdr:row>200</xdr:row>
      <xdr:rowOff>132506</xdr:rowOff>
    </xdr:to>
    <xdr:sp macro="" textlink="">
      <xdr:nvSpPr>
        <xdr:cNvPr id="196" name="TextBox 195"/>
        <xdr:cNvSpPr txBox="1"/>
      </xdr:nvSpPr>
      <xdr:spPr>
        <a:xfrm>
          <a:off x="10045296899" y="38373310"/>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1100">
              <a:solidFill>
                <a:schemeClr val="dk1"/>
              </a:solidFill>
              <a:effectLst/>
              <a:latin typeface="+mn-lt"/>
              <a:ea typeface="+mn-ea"/>
              <a:cs typeface="+mn-cs"/>
            </a:rPr>
            <a:t>יש</a:t>
          </a:r>
          <a:r>
            <a:rPr lang="he-IL" sz="1100" baseline="0">
              <a:solidFill>
                <a:schemeClr val="dk1"/>
              </a:solidFill>
              <a:effectLst/>
              <a:latin typeface="+mn-lt"/>
              <a:ea typeface="+mn-ea"/>
              <a:cs typeface="+mn-cs"/>
            </a:rPr>
            <a:t> להזין את שיעור המס החל על החברה.</a:t>
          </a:r>
          <a:endParaRPr lang="en-US">
            <a:effectLst/>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3354457</xdr:colOff>
      <xdr:row>193</xdr:row>
      <xdr:rowOff>186347</xdr:rowOff>
    </xdr:from>
    <xdr:to>
      <xdr:col>1</xdr:col>
      <xdr:colOff>4257275</xdr:colOff>
      <xdr:row>194</xdr:row>
      <xdr:rowOff>91109</xdr:rowOff>
    </xdr:to>
    <xdr:cxnSp macro="">
      <xdr:nvCxnSpPr>
        <xdr:cNvPr id="197" name="Straight Arrow Connector 196"/>
        <xdr:cNvCxnSpPr/>
      </xdr:nvCxnSpPr>
      <xdr:spPr>
        <a:xfrm flipH="1" flipV="1">
          <a:off x="10047881073" y="37897064"/>
          <a:ext cx="902818" cy="9526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3139109</xdr:colOff>
      <xdr:row>196</xdr:row>
      <xdr:rowOff>99392</xdr:rowOff>
    </xdr:from>
    <xdr:to>
      <xdr:col>1</xdr:col>
      <xdr:colOff>4157884</xdr:colOff>
      <xdr:row>198</xdr:row>
      <xdr:rowOff>111800</xdr:rowOff>
    </xdr:to>
    <xdr:cxnSp macro="">
      <xdr:nvCxnSpPr>
        <xdr:cNvPr id="198" name="Straight Arrow Connector 197"/>
        <xdr:cNvCxnSpPr/>
      </xdr:nvCxnSpPr>
      <xdr:spPr>
        <a:xfrm flipH="1">
          <a:off x="10047980464" y="38381609"/>
          <a:ext cx="1018775" cy="3934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546652</xdr:colOff>
      <xdr:row>205</xdr:row>
      <xdr:rowOff>165652</xdr:rowOff>
    </xdr:from>
    <xdr:to>
      <xdr:col>1</xdr:col>
      <xdr:colOff>3682038</xdr:colOff>
      <xdr:row>221</xdr:row>
      <xdr:rowOff>91109</xdr:rowOff>
    </xdr:to>
    <xdr:pic>
      <xdr:nvPicPr>
        <xdr:cNvPr id="201" name="Picture 20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048456310" y="40692456"/>
          <a:ext cx="3748299" cy="2973457"/>
        </a:xfrm>
        <a:prstGeom prst="rect">
          <a:avLst/>
        </a:prstGeom>
      </xdr:spPr>
    </xdr:pic>
    <xdr:clientData/>
  </xdr:twoCellAnchor>
  <xdr:twoCellAnchor>
    <xdr:from>
      <xdr:col>1</xdr:col>
      <xdr:colOff>4149617</xdr:colOff>
      <xdr:row>207</xdr:row>
      <xdr:rowOff>82814</xdr:rowOff>
    </xdr:from>
    <xdr:to>
      <xdr:col>1</xdr:col>
      <xdr:colOff>6833182</xdr:colOff>
      <xdr:row>211</xdr:row>
      <xdr:rowOff>24836</xdr:rowOff>
    </xdr:to>
    <xdr:sp macro="" textlink="">
      <xdr:nvSpPr>
        <xdr:cNvPr id="202" name="TextBox 201"/>
        <xdr:cNvSpPr txBox="1"/>
      </xdr:nvSpPr>
      <xdr:spPr>
        <a:xfrm>
          <a:off x="10045305166" y="40228618"/>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מרכיב הריבית של התשלום של אותו החודש שקיים טרם תחילת המודל.</a:t>
          </a:r>
        </a:p>
      </xdr:txBody>
    </xdr:sp>
    <xdr:clientData/>
  </xdr:twoCellAnchor>
  <xdr:twoCellAnchor>
    <xdr:from>
      <xdr:col>1</xdr:col>
      <xdr:colOff>4133051</xdr:colOff>
      <xdr:row>211</xdr:row>
      <xdr:rowOff>107658</xdr:rowOff>
    </xdr:from>
    <xdr:to>
      <xdr:col>1</xdr:col>
      <xdr:colOff>6816616</xdr:colOff>
      <xdr:row>215</xdr:row>
      <xdr:rowOff>149071</xdr:rowOff>
    </xdr:to>
    <xdr:sp macro="" textlink="">
      <xdr:nvSpPr>
        <xdr:cNvPr id="203" name="TextBox 202"/>
        <xdr:cNvSpPr txBox="1"/>
      </xdr:nvSpPr>
      <xdr:spPr>
        <a:xfrm>
          <a:off x="10045321732" y="41015462"/>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b="0" baseline="0">
              <a:solidFill>
                <a:schemeClr val="dk1"/>
              </a:solidFill>
              <a:effectLst/>
              <a:latin typeface="+mn-lt"/>
              <a:ea typeface="+mn-ea"/>
              <a:cs typeface="+mn-cs"/>
            </a:rPr>
            <a:t>יש להזין את מרכיב הקרן של התשלום של אותו החודש שקיים טרם תחילת המודל.</a:t>
          </a:r>
          <a:endParaRPr lang="en-US">
            <a:effectLst/>
          </a:endParaRPr>
        </a:p>
      </xdr:txBody>
    </xdr:sp>
    <xdr:clientData/>
  </xdr:twoCellAnchor>
  <xdr:twoCellAnchor>
    <xdr:from>
      <xdr:col>1</xdr:col>
      <xdr:colOff>2186609</xdr:colOff>
      <xdr:row>209</xdr:row>
      <xdr:rowOff>0</xdr:rowOff>
    </xdr:from>
    <xdr:to>
      <xdr:col>1</xdr:col>
      <xdr:colOff>4149617</xdr:colOff>
      <xdr:row>209</xdr:row>
      <xdr:rowOff>53825</xdr:rowOff>
    </xdr:to>
    <xdr:cxnSp macro="">
      <xdr:nvCxnSpPr>
        <xdr:cNvPr id="204" name="Straight Arrow Connector 203"/>
        <xdr:cNvCxnSpPr>
          <a:endCxn id="202" idx="3"/>
        </xdr:cNvCxnSpPr>
      </xdr:nvCxnSpPr>
      <xdr:spPr>
        <a:xfrm flipH="1">
          <a:off x="10047988731" y="40907804"/>
          <a:ext cx="1963008" cy="538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3263348</xdr:colOff>
      <xdr:row>209</xdr:row>
      <xdr:rowOff>115957</xdr:rowOff>
    </xdr:from>
    <xdr:to>
      <xdr:col>1</xdr:col>
      <xdr:colOff>4133049</xdr:colOff>
      <xdr:row>213</xdr:row>
      <xdr:rowOff>128365</xdr:rowOff>
    </xdr:to>
    <xdr:cxnSp macro="">
      <xdr:nvCxnSpPr>
        <xdr:cNvPr id="205" name="Straight Arrow Connector 204"/>
        <xdr:cNvCxnSpPr/>
      </xdr:nvCxnSpPr>
      <xdr:spPr>
        <a:xfrm flipH="1">
          <a:off x="10048005299" y="41023761"/>
          <a:ext cx="869701" cy="7744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7263847</xdr:colOff>
      <xdr:row>207</xdr:row>
      <xdr:rowOff>66264</xdr:rowOff>
    </xdr:from>
    <xdr:to>
      <xdr:col>1</xdr:col>
      <xdr:colOff>10386391</xdr:colOff>
      <xdr:row>218</xdr:row>
      <xdr:rowOff>24847</xdr:rowOff>
    </xdr:to>
    <xdr:sp macro="" textlink="">
      <xdr:nvSpPr>
        <xdr:cNvPr id="210" name="TextBox 209"/>
        <xdr:cNvSpPr txBox="1"/>
      </xdr:nvSpPr>
      <xdr:spPr>
        <a:xfrm>
          <a:off x="10041751957" y="40212068"/>
          <a:ext cx="3122544" cy="2054083"/>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הזנת חוב פיננסי שקיים למלון. יש להזין את התשלומים וכיצד הם מתפצלים בין ריבית לבין קרן.</a:t>
          </a:r>
        </a:p>
        <a:p>
          <a:pPr algn="r" rtl="1"/>
          <a:endParaRPr lang="he-IL" sz="1100" baseline="0"/>
        </a:p>
        <a:p>
          <a:pPr algn="r" rtl="1"/>
          <a:r>
            <a:rPr lang="he-IL" sz="1100" baseline="0"/>
            <a:t>*המודל יודע כי אם הזנת הוצאה שנזקפת ל"מימון" ברמה 1 אין להתחשב בו אם הזנת את החוב הפיננסי שלך.</a:t>
          </a:r>
        </a:p>
        <a:p>
          <a:pPr algn="r" rtl="1"/>
          <a:endParaRPr lang="he-IL" sz="1100" baseline="0"/>
        </a:p>
        <a:p>
          <a:pPr algn="r" rtl="1"/>
          <a:r>
            <a:rPr lang="he-IL" sz="1100" baseline="0"/>
            <a:t>בדוגמא שלפנינו קיים חוב של הלוואה מסוג שפיצר אשר התשלום החודשי שלה עומד על 100,000 ש"ח ומרכיב הקרן גדל לאורך התשלומים.</a:t>
          </a:r>
        </a:p>
        <a:p>
          <a:pPr algn="r" rtl="1"/>
          <a:endParaRPr lang="he-IL" sz="1100" baseline="0"/>
        </a:p>
      </xdr:txBody>
    </xdr:sp>
    <xdr:clientData/>
  </xdr:twoCellAnchor>
  <xdr:twoCellAnchor editAs="oneCell">
    <xdr:from>
      <xdr:col>0</xdr:col>
      <xdr:colOff>472109</xdr:colOff>
      <xdr:row>224</xdr:row>
      <xdr:rowOff>115958</xdr:rowOff>
    </xdr:from>
    <xdr:to>
      <xdr:col>1</xdr:col>
      <xdr:colOff>3698312</xdr:colOff>
      <xdr:row>235</xdr:row>
      <xdr:rowOff>132522</xdr:rowOff>
    </xdr:to>
    <xdr:pic>
      <xdr:nvPicPr>
        <xdr:cNvPr id="212" name="Picture 21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048440036" y="43881262"/>
          <a:ext cx="3839116" cy="2112064"/>
        </a:xfrm>
        <a:prstGeom prst="rect">
          <a:avLst/>
        </a:prstGeom>
      </xdr:spPr>
    </xdr:pic>
    <xdr:clientData/>
  </xdr:twoCellAnchor>
  <xdr:twoCellAnchor editAs="oneCell">
    <xdr:from>
      <xdr:col>0</xdr:col>
      <xdr:colOff>488675</xdr:colOff>
      <xdr:row>243</xdr:row>
      <xdr:rowOff>34043</xdr:rowOff>
    </xdr:from>
    <xdr:to>
      <xdr:col>1</xdr:col>
      <xdr:colOff>3608391</xdr:colOff>
      <xdr:row>253</xdr:row>
      <xdr:rowOff>16566</xdr:rowOff>
    </xdr:to>
    <xdr:pic>
      <xdr:nvPicPr>
        <xdr:cNvPr id="213" name="Picture 21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048529957" y="47418847"/>
          <a:ext cx="3732629" cy="1887523"/>
        </a:xfrm>
        <a:prstGeom prst="rect">
          <a:avLst/>
        </a:prstGeom>
      </xdr:spPr>
    </xdr:pic>
    <xdr:clientData/>
  </xdr:twoCellAnchor>
  <xdr:twoCellAnchor>
    <xdr:from>
      <xdr:col>1</xdr:col>
      <xdr:colOff>4149617</xdr:colOff>
      <xdr:row>224</xdr:row>
      <xdr:rowOff>140786</xdr:rowOff>
    </xdr:from>
    <xdr:to>
      <xdr:col>1</xdr:col>
      <xdr:colOff>6833182</xdr:colOff>
      <xdr:row>228</xdr:row>
      <xdr:rowOff>82808</xdr:rowOff>
    </xdr:to>
    <xdr:sp macro="" textlink="">
      <xdr:nvSpPr>
        <xdr:cNvPr id="214" name="TextBox 213"/>
        <xdr:cNvSpPr txBox="1"/>
      </xdr:nvSpPr>
      <xdr:spPr>
        <a:xfrm>
          <a:off x="10045305166" y="43906090"/>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אחוז הלקוחות שמשלם באשראי ולא במזומן.</a:t>
          </a:r>
        </a:p>
      </xdr:txBody>
    </xdr:sp>
    <xdr:clientData/>
  </xdr:twoCellAnchor>
  <xdr:twoCellAnchor>
    <xdr:from>
      <xdr:col>1</xdr:col>
      <xdr:colOff>4133051</xdr:colOff>
      <xdr:row>228</xdr:row>
      <xdr:rowOff>165630</xdr:rowOff>
    </xdr:from>
    <xdr:to>
      <xdr:col>1</xdr:col>
      <xdr:colOff>6816616</xdr:colOff>
      <xdr:row>233</xdr:row>
      <xdr:rowOff>16543</xdr:rowOff>
    </xdr:to>
    <xdr:sp macro="" textlink="">
      <xdr:nvSpPr>
        <xdr:cNvPr id="215" name="TextBox 214"/>
        <xdr:cNvSpPr txBox="1"/>
      </xdr:nvSpPr>
      <xdr:spPr>
        <a:xfrm>
          <a:off x="10045321732" y="44692934"/>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b="0" baseline="0">
              <a:solidFill>
                <a:schemeClr val="dk1"/>
              </a:solidFill>
              <a:effectLst/>
              <a:latin typeface="+mn-lt"/>
              <a:ea typeface="+mn-ea"/>
              <a:cs typeface="+mn-cs"/>
            </a:rPr>
            <a:t>יש להזין מה התשלום הממוצע של הלקוחות של המלון. בדוגמא הנ"ל הלקוחות משלמים שוטף פלוס 30 כלומר 30 יום לאחר סוף החודש, קרי בסוף החודש שלאחר מכן.</a:t>
          </a:r>
          <a:endParaRPr lang="en-US">
            <a:effectLst/>
          </a:endParaRPr>
        </a:p>
      </xdr:txBody>
    </xdr:sp>
    <xdr:clientData/>
  </xdr:twoCellAnchor>
  <xdr:twoCellAnchor>
    <xdr:from>
      <xdr:col>1</xdr:col>
      <xdr:colOff>2782957</xdr:colOff>
      <xdr:row>226</xdr:row>
      <xdr:rowOff>111797</xdr:rowOff>
    </xdr:from>
    <xdr:to>
      <xdr:col>1</xdr:col>
      <xdr:colOff>4149617</xdr:colOff>
      <xdr:row>227</xdr:row>
      <xdr:rowOff>140805</xdr:rowOff>
    </xdr:to>
    <xdr:cxnSp macro="">
      <xdr:nvCxnSpPr>
        <xdr:cNvPr id="216" name="Straight Arrow Connector 215"/>
        <xdr:cNvCxnSpPr>
          <a:endCxn id="214" idx="3"/>
        </xdr:cNvCxnSpPr>
      </xdr:nvCxnSpPr>
      <xdr:spPr>
        <a:xfrm flipH="1" flipV="1">
          <a:off x="10047988731" y="44258101"/>
          <a:ext cx="1366660" cy="2195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2923761</xdr:colOff>
      <xdr:row>230</xdr:row>
      <xdr:rowOff>41413</xdr:rowOff>
    </xdr:from>
    <xdr:to>
      <xdr:col>1</xdr:col>
      <xdr:colOff>4133049</xdr:colOff>
      <xdr:row>230</xdr:row>
      <xdr:rowOff>186337</xdr:rowOff>
    </xdr:to>
    <xdr:cxnSp macro="">
      <xdr:nvCxnSpPr>
        <xdr:cNvPr id="217" name="Straight Arrow Connector 216"/>
        <xdr:cNvCxnSpPr/>
      </xdr:nvCxnSpPr>
      <xdr:spPr>
        <a:xfrm flipH="1">
          <a:off x="10048005299" y="44949717"/>
          <a:ext cx="1209288" cy="1449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7263847</xdr:colOff>
      <xdr:row>224</xdr:row>
      <xdr:rowOff>124236</xdr:rowOff>
    </xdr:from>
    <xdr:to>
      <xdr:col>1</xdr:col>
      <xdr:colOff>10386391</xdr:colOff>
      <xdr:row>232</xdr:row>
      <xdr:rowOff>66261</xdr:rowOff>
    </xdr:to>
    <xdr:sp macro="" textlink="">
      <xdr:nvSpPr>
        <xdr:cNvPr id="218" name="TextBox 217"/>
        <xdr:cNvSpPr txBox="1"/>
      </xdr:nvSpPr>
      <xdr:spPr>
        <a:xfrm>
          <a:off x="10041751957" y="43889540"/>
          <a:ext cx="3122544" cy="1466025"/>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יתרת הלקוחות טרם תחילת המודל ועל ידי הזנת שיעור המכירות שמתבצעת באשראי ולאיזה תקופה.</a:t>
          </a:r>
        </a:p>
        <a:p>
          <a:pPr algn="r" rtl="1"/>
          <a:endParaRPr lang="he-IL" sz="1100" baseline="0"/>
        </a:p>
        <a:p>
          <a:pPr algn="r" rtl="1"/>
          <a:r>
            <a:rPr lang="he-IL" sz="1100" baseline="0"/>
            <a:t>המודל יפרוס את ההכנסות</a:t>
          </a:r>
          <a:r>
            <a:rPr lang="en-US" sz="1100" baseline="0"/>
            <a:t> </a:t>
          </a:r>
          <a:r>
            <a:rPr lang="he-IL" sz="1100" baseline="0">
              <a:solidFill>
                <a:schemeClr val="dk1"/>
              </a:solidFill>
              <a:effectLst/>
              <a:latin typeface="+mn-lt"/>
              <a:ea typeface="+mn-ea"/>
              <a:cs typeface="+mn-cs"/>
            </a:rPr>
            <a:t>שיחושבו </a:t>
          </a:r>
          <a:r>
            <a:rPr lang="he-IL" sz="1100" baseline="0"/>
            <a:t>ואת יתרת הלקוחות הראשונית על פני החודשים הרלוונטיים.</a:t>
          </a:r>
        </a:p>
      </xdr:txBody>
    </xdr:sp>
    <xdr:clientData/>
  </xdr:twoCellAnchor>
  <xdr:twoCellAnchor>
    <xdr:from>
      <xdr:col>1</xdr:col>
      <xdr:colOff>4124799</xdr:colOff>
      <xdr:row>233</xdr:row>
      <xdr:rowOff>132502</xdr:rowOff>
    </xdr:from>
    <xdr:to>
      <xdr:col>1</xdr:col>
      <xdr:colOff>6808364</xdr:colOff>
      <xdr:row>240</xdr:row>
      <xdr:rowOff>41413</xdr:rowOff>
    </xdr:to>
    <xdr:sp macro="" textlink="">
      <xdr:nvSpPr>
        <xdr:cNvPr id="223" name="TextBox 222"/>
        <xdr:cNvSpPr txBox="1"/>
      </xdr:nvSpPr>
      <xdr:spPr>
        <a:xfrm>
          <a:off x="10045329984" y="45612306"/>
          <a:ext cx="2683565" cy="124241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אם יש יתרת לקוחות טרם תחילת המודל, יש להזין את היתרה הנ"ל, במקרה לשפנינו יש יתרת לקוחות על סך 800,000 ש"ח.</a:t>
          </a:r>
        </a:p>
        <a:p>
          <a:pPr algn="r" rtl="1"/>
          <a:endParaRPr lang="he-IL" sz="1100" b="0" baseline="0"/>
        </a:p>
        <a:p>
          <a:pPr algn="r" rtl="1"/>
          <a:r>
            <a:rPr lang="he-IL" sz="1100" b="1" baseline="0"/>
            <a:t>*המודל תמיד פורע את היתרה הנ"ל ב-2 תשלומים שווים בחודשיים הראשונים של המודל.</a:t>
          </a:r>
        </a:p>
        <a:p>
          <a:pPr algn="r" rtl="1"/>
          <a:endParaRPr lang="he-IL" sz="1100" b="0" baseline="0"/>
        </a:p>
      </xdr:txBody>
    </xdr:sp>
    <xdr:clientData/>
  </xdr:twoCellAnchor>
  <xdr:twoCellAnchor>
    <xdr:from>
      <xdr:col>1</xdr:col>
      <xdr:colOff>2956891</xdr:colOff>
      <xdr:row>232</xdr:row>
      <xdr:rowOff>41413</xdr:rowOff>
    </xdr:from>
    <xdr:to>
      <xdr:col>1</xdr:col>
      <xdr:colOff>4124799</xdr:colOff>
      <xdr:row>236</xdr:row>
      <xdr:rowOff>182208</xdr:rowOff>
    </xdr:to>
    <xdr:cxnSp macro="">
      <xdr:nvCxnSpPr>
        <xdr:cNvPr id="224" name="Straight Arrow Connector 223"/>
        <xdr:cNvCxnSpPr>
          <a:endCxn id="223" idx="3"/>
        </xdr:cNvCxnSpPr>
      </xdr:nvCxnSpPr>
      <xdr:spPr>
        <a:xfrm flipH="1">
          <a:off x="10048013549" y="45330717"/>
          <a:ext cx="1167908" cy="9027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4133050</xdr:colOff>
      <xdr:row>243</xdr:row>
      <xdr:rowOff>24828</xdr:rowOff>
    </xdr:from>
    <xdr:to>
      <xdr:col>1</xdr:col>
      <xdr:colOff>6816615</xdr:colOff>
      <xdr:row>246</xdr:row>
      <xdr:rowOff>157350</xdr:rowOff>
    </xdr:to>
    <xdr:sp macro="" textlink="">
      <xdr:nvSpPr>
        <xdr:cNvPr id="233" name="TextBox 232"/>
        <xdr:cNvSpPr txBox="1"/>
      </xdr:nvSpPr>
      <xdr:spPr>
        <a:xfrm>
          <a:off x="10045321733" y="47409632"/>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אחוז הספקים שהמלון משלם להם באשראי ולא במזומן. אחוז זה הוא בגין ההוצאות שהוזנו ברמה 1 (תחת הוצאות) כהוצאות בגין ספקים.</a:t>
          </a:r>
        </a:p>
      </xdr:txBody>
    </xdr:sp>
    <xdr:clientData/>
  </xdr:twoCellAnchor>
  <xdr:twoCellAnchor>
    <xdr:from>
      <xdr:col>1</xdr:col>
      <xdr:colOff>4116484</xdr:colOff>
      <xdr:row>247</xdr:row>
      <xdr:rowOff>49672</xdr:rowOff>
    </xdr:from>
    <xdr:to>
      <xdr:col>1</xdr:col>
      <xdr:colOff>6800049</xdr:colOff>
      <xdr:row>251</xdr:row>
      <xdr:rowOff>91085</xdr:rowOff>
    </xdr:to>
    <xdr:sp macro="" textlink="">
      <xdr:nvSpPr>
        <xdr:cNvPr id="234" name="TextBox 233"/>
        <xdr:cNvSpPr txBox="1"/>
      </xdr:nvSpPr>
      <xdr:spPr>
        <a:xfrm>
          <a:off x="10045338299" y="48196476"/>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b="0" baseline="0">
              <a:solidFill>
                <a:schemeClr val="dk1"/>
              </a:solidFill>
              <a:effectLst/>
              <a:latin typeface="+mn-lt"/>
              <a:ea typeface="+mn-ea"/>
              <a:cs typeface="+mn-cs"/>
            </a:rPr>
            <a:t>יש להזין מה התשלום הממוצע של המלון לספקים. בדוגמא הנ"ל המלון משלם שוטף פלוס 60 כלומר 60 יום לאחר סוף החודש, קרי בסוף החודש העוקב לחודש שלאחר מכן.</a:t>
          </a:r>
          <a:endParaRPr lang="en-US">
            <a:effectLst/>
          </a:endParaRPr>
        </a:p>
      </xdr:txBody>
    </xdr:sp>
    <xdr:clientData/>
  </xdr:twoCellAnchor>
  <xdr:twoCellAnchor>
    <xdr:from>
      <xdr:col>1</xdr:col>
      <xdr:colOff>2766390</xdr:colOff>
      <xdr:row>244</xdr:row>
      <xdr:rowOff>186339</xdr:rowOff>
    </xdr:from>
    <xdr:to>
      <xdr:col>1</xdr:col>
      <xdr:colOff>4133050</xdr:colOff>
      <xdr:row>246</xdr:row>
      <xdr:rowOff>24847</xdr:rowOff>
    </xdr:to>
    <xdr:cxnSp macro="">
      <xdr:nvCxnSpPr>
        <xdr:cNvPr id="235" name="Straight Arrow Connector 234"/>
        <xdr:cNvCxnSpPr>
          <a:endCxn id="233" idx="3"/>
        </xdr:cNvCxnSpPr>
      </xdr:nvCxnSpPr>
      <xdr:spPr>
        <a:xfrm flipH="1" flipV="1">
          <a:off x="10048005298" y="47761643"/>
          <a:ext cx="1366660" cy="2195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2907194</xdr:colOff>
      <xdr:row>248</xdr:row>
      <xdr:rowOff>115955</xdr:rowOff>
    </xdr:from>
    <xdr:to>
      <xdr:col>1</xdr:col>
      <xdr:colOff>4116482</xdr:colOff>
      <xdr:row>249</xdr:row>
      <xdr:rowOff>70379</xdr:rowOff>
    </xdr:to>
    <xdr:cxnSp macro="">
      <xdr:nvCxnSpPr>
        <xdr:cNvPr id="236" name="Straight Arrow Connector 235"/>
        <xdr:cNvCxnSpPr/>
      </xdr:nvCxnSpPr>
      <xdr:spPr>
        <a:xfrm flipH="1">
          <a:off x="10048021866" y="48453259"/>
          <a:ext cx="1209288" cy="1449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7247280</xdr:colOff>
      <xdr:row>243</xdr:row>
      <xdr:rowOff>8278</xdr:rowOff>
    </xdr:from>
    <xdr:to>
      <xdr:col>1</xdr:col>
      <xdr:colOff>10369824</xdr:colOff>
      <xdr:row>250</xdr:row>
      <xdr:rowOff>140803</xdr:rowOff>
    </xdr:to>
    <xdr:sp macro="" textlink="">
      <xdr:nvSpPr>
        <xdr:cNvPr id="237" name="TextBox 236"/>
        <xdr:cNvSpPr txBox="1"/>
      </xdr:nvSpPr>
      <xdr:spPr>
        <a:xfrm>
          <a:off x="10041768524" y="47393082"/>
          <a:ext cx="3122544" cy="1466025"/>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יתרת הספקים טרם תחילת המודל ועל ידי הזנת שיעור התשלומים שמלון משלם באשראי ולאיזה תקופה.</a:t>
          </a:r>
        </a:p>
        <a:p>
          <a:pPr algn="r" rtl="1"/>
          <a:endParaRPr lang="he-IL" sz="1100" baseline="0"/>
        </a:p>
        <a:p>
          <a:pPr algn="r" rtl="1"/>
          <a:r>
            <a:rPr lang="he-IL" sz="1100" baseline="0"/>
            <a:t>המודל יפרוס את ההוצאות שהוזנו לגביהן שהן בגין ספקים ואת יתרת הספקים הראשונית על פני החודשים הרלוונטיים.</a:t>
          </a:r>
        </a:p>
      </xdr:txBody>
    </xdr:sp>
    <xdr:clientData/>
  </xdr:twoCellAnchor>
  <xdr:twoCellAnchor>
    <xdr:from>
      <xdr:col>1</xdr:col>
      <xdr:colOff>4108232</xdr:colOff>
      <xdr:row>252</xdr:row>
      <xdr:rowOff>16544</xdr:rowOff>
    </xdr:from>
    <xdr:to>
      <xdr:col>1</xdr:col>
      <xdr:colOff>6791797</xdr:colOff>
      <xdr:row>258</xdr:row>
      <xdr:rowOff>115955</xdr:rowOff>
    </xdr:to>
    <xdr:sp macro="" textlink="">
      <xdr:nvSpPr>
        <xdr:cNvPr id="238" name="TextBox 237"/>
        <xdr:cNvSpPr txBox="1"/>
      </xdr:nvSpPr>
      <xdr:spPr>
        <a:xfrm>
          <a:off x="10045346551" y="49115848"/>
          <a:ext cx="2683565" cy="124241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אם יש יתרת ספקים טרם תחילת המודל, יש להזין את היתרה הנ"ל, במקרה לשפנינו יש יתרת ספקים על סך 800,000 ש"ח.</a:t>
          </a:r>
        </a:p>
        <a:p>
          <a:pPr algn="r" rtl="1"/>
          <a:endParaRPr lang="he-IL" sz="1100" b="0" baseline="0"/>
        </a:p>
        <a:p>
          <a:pPr algn="r" rtl="1"/>
          <a:r>
            <a:rPr lang="he-IL" sz="1100" b="1" baseline="0"/>
            <a:t>*המודל תמיד פורע את היתרה הנ"ל ב-2 תשלומים שווים בחודשיים הראשונים של המודל.</a:t>
          </a:r>
        </a:p>
        <a:p>
          <a:pPr algn="r" rtl="1"/>
          <a:endParaRPr lang="he-IL" sz="1100" b="0" baseline="0"/>
        </a:p>
      </xdr:txBody>
    </xdr:sp>
    <xdr:clientData/>
  </xdr:twoCellAnchor>
  <xdr:twoCellAnchor>
    <xdr:from>
      <xdr:col>1</xdr:col>
      <xdr:colOff>2940324</xdr:colOff>
      <xdr:row>250</xdr:row>
      <xdr:rowOff>115955</xdr:rowOff>
    </xdr:from>
    <xdr:to>
      <xdr:col>1</xdr:col>
      <xdr:colOff>4108232</xdr:colOff>
      <xdr:row>255</xdr:row>
      <xdr:rowOff>66250</xdr:rowOff>
    </xdr:to>
    <xdr:cxnSp macro="">
      <xdr:nvCxnSpPr>
        <xdr:cNvPr id="239" name="Straight Arrow Connector 238"/>
        <xdr:cNvCxnSpPr>
          <a:endCxn id="238" idx="3"/>
        </xdr:cNvCxnSpPr>
      </xdr:nvCxnSpPr>
      <xdr:spPr>
        <a:xfrm flipH="1">
          <a:off x="10048030116" y="48834259"/>
          <a:ext cx="1167908" cy="9027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231913</xdr:colOff>
      <xdr:row>265</xdr:row>
      <xdr:rowOff>0</xdr:rowOff>
    </xdr:from>
    <xdr:to>
      <xdr:col>1</xdr:col>
      <xdr:colOff>4142823</xdr:colOff>
      <xdr:row>269</xdr:row>
      <xdr:rowOff>152528</xdr:rowOff>
    </xdr:to>
    <xdr:pic>
      <xdr:nvPicPr>
        <xdr:cNvPr id="241" name="Picture 24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047995525" y="51642065"/>
          <a:ext cx="4523823" cy="914528"/>
        </a:xfrm>
        <a:prstGeom prst="rect">
          <a:avLst/>
        </a:prstGeom>
      </xdr:spPr>
    </xdr:pic>
    <xdr:clientData/>
  </xdr:twoCellAnchor>
  <xdr:twoCellAnchor>
    <xdr:from>
      <xdr:col>0</xdr:col>
      <xdr:colOff>405848</xdr:colOff>
      <xdr:row>263</xdr:row>
      <xdr:rowOff>8281</xdr:rowOff>
    </xdr:from>
    <xdr:to>
      <xdr:col>1</xdr:col>
      <xdr:colOff>1929906</xdr:colOff>
      <xdr:row>267</xdr:row>
      <xdr:rowOff>132522</xdr:rowOff>
    </xdr:to>
    <xdr:cxnSp macro="">
      <xdr:nvCxnSpPr>
        <xdr:cNvPr id="242" name="Straight Arrow Connector 241"/>
        <xdr:cNvCxnSpPr/>
      </xdr:nvCxnSpPr>
      <xdr:spPr>
        <a:xfrm>
          <a:off x="10040522523" y="51348031"/>
          <a:ext cx="2136379" cy="88624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397565</xdr:colOff>
      <xdr:row>272</xdr:row>
      <xdr:rowOff>157369</xdr:rowOff>
    </xdr:from>
    <xdr:to>
      <xdr:col>1</xdr:col>
      <xdr:colOff>3252236</xdr:colOff>
      <xdr:row>294</xdr:row>
      <xdr:rowOff>62691</xdr:rowOff>
    </xdr:to>
    <xdr:pic>
      <xdr:nvPicPr>
        <xdr:cNvPr id="244" name="Picture 24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048886112" y="53132934"/>
          <a:ext cx="3467584" cy="4096322"/>
        </a:xfrm>
        <a:prstGeom prst="rect">
          <a:avLst/>
        </a:prstGeom>
      </xdr:spPr>
    </xdr:pic>
    <xdr:clientData/>
  </xdr:twoCellAnchor>
  <xdr:twoCellAnchor editAs="oneCell">
    <xdr:from>
      <xdr:col>0</xdr:col>
      <xdr:colOff>405847</xdr:colOff>
      <xdr:row>296</xdr:row>
      <xdr:rowOff>184043</xdr:rowOff>
    </xdr:from>
    <xdr:to>
      <xdr:col>1</xdr:col>
      <xdr:colOff>2736570</xdr:colOff>
      <xdr:row>304</xdr:row>
      <xdr:rowOff>22308</xdr:rowOff>
    </xdr:to>
    <xdr:pic>
      <xdr:nvPicPr>
        <xdr:cNvPr id="246" name="Picture 24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049401778" y="57731608"/>
          <a:ext cx="2943636" cy="1362265"/>
        </a:xfrm>
        <a:prstGeom prst="rect">
          <a:avLst/>
        </a:prstGeom>
      </xdr:spPr>
    </xdr:pic>
    <xdr:clientData/>
  </xdr:twoCellAnchor>
  <xdr:twoCellAnchor editAs="oneCell">
    <xdr:from>
      <xdr:col>0</xdr:col>
      <xdr:colOff>339588</xdr:colOff>
      <xdr:row>322</xdr:row>
      <xdr:rowOff>184956</xdr:rowOff>
    </xdr:from>
    <xdr:to>
      <xdr:col>1</xdr:col>
      <xdr:colOff>3041838</xdr:colOff>
      <xdr:row>345</xdr:row>
      <xdr:rowOff>52199</xdr:rowOff>
    </xdr:to>
    <xdr:pic>
      <xdr:nvPicPr>
        <xdr:cNvPr id="247" name="Picture 24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049096510" y="62702086"/>
          <a:ext cx="3315163" cy="4248743"/>
        </a:xfrm>
        <a:prstGeom prst="rect">
          <a:avLst/>
        </a:prstGeom>
      </xdr:spPr>
    </xdr:pic>
    <xdr:clientData/>
  </xdr:twoCellAnchor>
  <xdr:twoCellAnchor editAs="oneCell">
    <xdr:from>
      <xdr:col>0</xdr:col>
      <xdr:colOff>372717</xdr:colOff>
      <xdr:row>306</xdr:row>
      <xdr:rowOff>179413</xdr:rowOff>
    </xdr:from>
    <xdr:to>
      <xdr:col>1</xdr:col>
      <xdr:colOff>2941598</xdr:colOff>
      <xdr:row>321</xdr:row>
      <xdr:rowOff>113128</xdr:rowOff>
    </xdr:to>
    <xdr:pic>
      <xdr:nvPicPr>
        <xdr:cNvPr id="250" name="Picture 24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049196750" y="59648543"/>
          <a:ext cx="3181794" cy="2791215"/>
        </a:xfrm>
        <a:prstGeom prst="rect">
          <a:avLst/>
        </a:prstGeom>
      </xdr:spPr>
    </xdr:pic>
    <xdr:clientData/>
  </xdr:twoCellAnchor>
  <xdr:twoCellAnchor>
    <xdr:from>
      <xdr:col>1</xdr:col>
      <xdr:colOff>4124766</xdr:colOff>
      <xdr:row>274</xdr:row>
      <xdr:rowOff>173912</xdr:rowOff>
    </xdr:from>
    <xdr:to>
      <xdr:col>1</xdr:col>
      <xdr:colOff>6808331</xdr:colOff>
      <xdr:row>278</xdr:row>
      <xdr:rowOff>115934</xdr:rowOff>
    </xdr:to>
    <xdr:sp macro="" textlink="">
      <xdr:nvSpPr>
        <xdr:cNvPr id="252" name="TextBox 251"/>
        <xdr:cNvSpPr txBox="1"/>
      </xdr:nvSpPr>
      <xdr:spPr>
        <a:xfrm>
          <a:off x="10045330017" y="53530477"/>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המחיר הממוצע הצפוי לאותו החודש העתידי. בדוגמא הוזן כי המחיר ממוצע לחדר ללילה עומד על 750 בחודש יוני 2020.</a:t>
          </a:r>
        </a:p>
      </xdr:txBody>
    </xdr:sp>
    <xdr:clientData/>
  </xdr:twoCellAnchor>
  <xdr:twoCellAnchor>
    <xdr:from>
      <xdr:col>1</xdr:col>
      <xdr:colOff>4108200</xdr:colOff>
      <xdr:row>279</xdr:row>
      <xdr:rowOff>33105</xdr:rowOff>
    </xdr:from>
    <xdr:to>
      <xdr:col>1</xdr:col>
      <xdr:colOff>6791765</xdr:colOff>
      <xdr:row>283</xdr:row>
      <xdr:rowOff>74518</xdr:rowOff>
    </xdr:to>
    <xdr:sp macro="" textlink="">
      <xdr:nvSpPr>
        <xdr:cNvPr id="253" name="TextBox 252"/>
        <xdr:cNvSpPr txBox="1"/>
      </xdr:nvSpPr>
      <xdr:spPr>
        <a:xfrm>
          <a:off x="10045346583" y="54342170"/>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b="0" baseline="0">
              <a:solidFill>
                <a:schemeClr val="dk1"/>
              </a:solidFill>
              <a:effectLst/>
              <a:latin typeface="+mn-lt"/>
              <a:ea typeface="+mn-ea"/>
              <a:cs typeface="+mn-cs"/>
            </a:rPr>
            <a:t>יש להזין מהאת כמות החדרים במלון. בדוגמא הוזן כי למלון יש 100 חדרים.</a:t>
          </a:r>
          <a:endParaRPr lang="en-US">
            <a:effectLst/>
          </a:endParaRPr>
        </a:p>
      </xdr:txBody>
    </xdr:sp>
    <xdr:clientData/>
  </xdr:twoCellAnchor>
  <xdr:twoCellAnchor>
    <xdr:from>
      <xdr:col>1</xdr:col>
      <xdr:colOff>2915478</xdr:colOff>
      <xdr:row>275</xdr:row>
      <xdr:rowOff>173935</xdr:rowOff>
    </xdr:from>
    <xdr:to>
      <xdr:col>1</xdr:col>
      <xdr:colOff>4124766</xdr:colOff>
      <xdr:row>276</xdr:row>
      <xdr:rowOff>144923</xdr:rowOff>
    </xdr:to>
    <xdr:cxnSp macro="">
      <xdr:nvCxnSpPr>
        <xdr:cNvPr id="254" name="Straight Arrow Connector 253"/>
        <xdr:cNvCxnSpPr>
          <a:endCxn id="252" idx="3"/>
        </xdr:cNvCxnSpPr>
      </xdr:nvCxnSpPr>
      <xdr:spPr>
        <a:xfrm flipH="1">
          <a:off x="10048013582" y="53721000"/>
          <a:ext cx="1209288" cy="16148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3155674</xdr:colOff>
      <xdr:row>281</xdr:row>
      <xdr:rowOff>53812</xdr:rowOff>
    </xdr:from>
    <xdr:to>
      <xdr:col>1</xdr:col>
      <xdr:colOff>4108198</xdr:colOff>
      <xdr:row>288</xdr:row>
      <xdr:rowOff>82826</xdr:rowOff>
    </xdr:to>
    <xdr:cxnSp macro="">
      <xdr:nvCxnSpPr>
        <xdr:cNvPr id="255" name="Straight Arrow Connector 254"/>
        <xdr:cNvCxnSpPr/>
      </xdr:nvCxnSpPr>
      <xdr:spPr>
        <a:xfrm flipH="1" flipV="1">
          <a:off x="10048030150" y="54743877"/>
          <a:ext cx="952524" cy="136251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7238996</xdr:colOff>
      <xdr:row>274</xdr:row>
      <xdr:rowOff>157363</xdr:rowOff>
    </xdr:from>
    <xdr:to>
      <xdr:col>1</xdr:col>
      <xdr:colOff>10361540</xdr:colOff>
      <xdr:row>280</xdr:row>
      <xdr:rowOff>1</xdr:rowOff>
    </xdr:to>
    <xdr:sp macro="" textlink="">
      <xdr:nvSpPr>
        <xdr:cNvPr id="256" name="TextBox 255"/>
        <xdr:cNvSpPr txBox="1"/>
      </xdr:nvSpPr>
      <xdr:spPr>
        <a:xfrm>
          <a:off x="10041776808" y="53513928"/>
          <a:ext cx="3122544" cy="985638"/>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הזנת המחיר הממוצע הצפוי לכל חודש וחודש. כאשר אנו מזינים את הנתונים הללו המודל לא יתחשב בנתון ההכנסות מלינות ברמה 1.</a:t>
          </a:r>
        </a:p>
      </xdr:txBody>
    </xdr:sp>
    <xdr:clientData/>
  </xdr:twoCellAnchor>
  <xdr:twoCellAnchor>
    <xdr:from>
      <xdr:col>1</xdr:col>
      <xdr:colOff>4091661</xdr:colOff>
      <xdr:row>284</xdr:row>
      <xdr:rowOff>8257</xdr:rowOff>
    </xdr:from>
    <xdr:to>
      <xdr:col>1</xdr:col>
      <xdr:colOff>6775226</xdr:colOff>
      <xdr:row>288</xdr:row>
      <xdr:rowOff>49670</xdr:rowOff>
    </xdr:to>
    <xdr:sp macro="" textlink="">
      <xdr:nvSpPr>
        <xdr:cNvPr id="260" name="TextBox 259"/>
        <xdr:cNvSpPr txBox="1"/>
      </xdr:nvSpPr>
      <xdr:spPr>
        <a:xfrm>
          <a:off x="10045363122" y="55269822"/>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b="0" baseline="0">
              <a:solidFill>
                <a:schemeClr val="dk1"/>
              </a:solidFill>
              <a:effectLst/>
              <a:latin typeface="+mn-lt"/>
              <a:ea typeface="+mn-ea"/>
              <a:cs typeface="+mn-cs"/>
            </a:rPr>
            <a:t>המודל יחשב את המחיר לחודש ה"חזק" ביותר וחודש ה"חלש" ביותר. ניתן להסתייע בכך בכדי להבין האם הנתונים מתכתבים עם ההנחה הכוללת להכנסה חודשים בתפוסה מלאה.</a:t>
          </a:r>
          <a:endParaRPr lang="en-US">
            <a:effectLst/>
          </a:endParaRPr>
        </a:p>
      </xdr:txBody>
    </xdr:sp>
    <xdr:clientData/>
  </xdr:twoCellAnchor>
  <xdr:twoCellAnchor>
    <xdr:from>
      <xdr:col>1</xdr:col>
      <xdr:colOff>2981739</xdr:colOff>
      <xdr:row>286</xdr:row>
      <xdr:rowOff>28964</xdr:rowOff>
    </xdr:from>
    <xdr:to>
      <xdr:col>1</xdr:col>
      <xdr:colOff>4091659</xdr:colOff>
      <xdr:row>292</xdr:row>
      <xdr:rowOff>33131</xdr:rowOff>
    </xdr:to>
    <xdr:cxnSp macro="">
      <xdr:nvCxnSpPr>
        <xdr:cNvPr id="261" name="Straight Arrow Connector 260"/>
        <xdr:cNvCxnSpPr/>
      </xdr:nvCxnSpPr>
      <xdr:spPr>
        <a:xfrm flipH="1" flipV="1">
          <a:off x="10048046689" y="55671529"/>
          <a:ext cx="1109920" cy="114716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3892850</xdr:colOff>
      <xdr:row>297</xdr:row>
      <xdr:rowOff>41390</xdr:rowOff>
    </xdr:from>
    <xdr:to>
      <xdr:col>1</xdr:col>
      <xdr:colOff>6576415</xdr:colOff>
      <xdr:row>300</xdr:row>
      <xdr:rowOff>173912</xdr:rowOff>
    </xdr:to>
    <xdr:sp macro="" textlink="">
      <xdr:nvSpPr>
        <xdr:cNvPr id="263" name="TextBox 262"/>
        <xdr:cNvSpPr txBox="1"/>
      </xdr:nvSpPr>
      <xdr:spPr>
        <a:xfrm>
          <a:off x="10045561933" y="57779455"/>
          <a:ext cx="2683565" cy="704022"/>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הקרן, הריבית החודשית, מספר החודשים והחודש במעוניינים ליטול הלוואה. כך ניתן לבחון כיצד הגדלת המינוף תשתף בתחזית.</a:t>
          </a:r>
        </a:p>
      </xdr:txBody>
    </xdr:sp>
    <xdr:clientData/>
  </xdr:twoCellAnchor>
  <xdr:twoCellAnchor>
    <xdr:from>
      <xdr:col>1</xdr:col>
      <xdr:colOff>2600738</xdr:colOff>
      <xdr:row>299</xdr:row>
      <xdr:rowOff>12401</xdr:rowOff>
    </xdr:from>
    <xdr:to>
      <xdr:col>1</xdr:col>
      <xdr:colOff>3892850</xdr:colOff>
      <xdr:row>300</xdr:row>
      <xdr:rowOff>124239</xdr:rowOff>
    </xdr:to>
    <xdr:cxnSp macro="">
      <xdr:nvCxnSpPr>
        <xdr:cNvPr id="264" name="Straight Arrow Connector 263"/>
        <xdr:cNvCxnSpPr>
          <a:endCxn id="263" idx="3"/>
        </xdr:cNvCxnSpPr>
      </xdr:nvCxnSpPr>
      <xdr:spPr>
        <a:xfrm flipH="1" flipV="1">
          <a:off x="10048245498" y="58131466"/>
          <a:ext cx="1292112" cy="30233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7131319</xdr:colOff>
      <xdr:row>297</xdr:row>
      <xdr:rowOff>8274</xdr:rowOff>
    </xdr:from>
    <xdr:to>
      <xdr:col>1</xdr:col>
      <xdr:colOff>10253863</xdr:colOff>
      <xdr:row>300</xdr:row>
      <xdr:rowOff>173935</xdr:rowOff>
    </xdr:to>
    <xdr:sp macro="" textlink="">
      <xdr:nvSpPr>
        <xdr:cNvPr id="265" name="TextBox 264"/>
        <xdr:cNvSpPr txBox="1"/>
      </xdr:nvSpPr>
      <xdr:spPr>
        <a:xfrm>
          <a:off x="10041884485" y="57746339"/>
          <a:ext cx="3122544" cy="737161"/>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המודל מאפשר בחינה של מינוף. על ידי נטילת הלוואה ניתן לראות כיצד התחזית משתנה</a:t>
          </a:r>
        </a:p>
      </xdr:txBody>
    </xdr:sp>
    <xdr:clientData/>
  </xdr:twoCellAnchor>
  <xdr:twoCellAnchor>
    <xdr:from>
      <xdr:col>1</xdr:col>
      <xdr:colOff>3901132</xdr:colOff>
      <xdr:row>308</xdr:row>
      <xdr:rowOff>99367</xdr:rowOff>
    </xdr:from>
    <xdr:to>
      <xdr:col>1</xdr:col>
      <xdr:colOff>6584697</xdr:colOff>
      <xdr:row>313</xdr:row>
      <xdr:rowOff>33130</xdr:rowOff>
    </xdr:to>
    <xdr:sp macro="" textlink="">
      <xdr:nvSpPr>
        <xdr:cNvPr id="267" name="TextBox 266"/>
        <xdr:cNvSpPr txBox="1"/>
      </xdr:nvSpPr>
      <xdr:spPr>
        <a:xfrm>
          <a:off x="10045553651" y="59949497"/>
          <a:ext cx="2683565" cy="88626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הפחת בגין השקעות שהוצאו טרם המודל. יש להזין את הפחת לכל חודש בחודשו. בדוגמא אנו רואים כי המלון מפחית את הר"ק שקיים טרם המודל וגובה הפחת החודשי הינו 1,000.</a:t>
          </a:r>
        </a:p>
      </xdr:txBody>
    </xdr:sp>
    <xdr:clientData/>
  </xdr:twoCellAnchor>
  <xdr:twoCellAnchor>
    <xdr:from>
      <xdr:col>1</xdr:col>
      <xdr:colOff>2691844</xdr:colOff>
      <xdr:row>309</xdr:row>
      <xdr:rowOff>99391</xdr:rowOff>
    </xdr:from>
    <xdr:to>
      <xdr:col>1</xdr:col>
      <xdr:colOff>3901132</xdr:colOff>
      <xdr:row>310</xdr:row>
      <xdr:rowOff>161499</xdr:rowOff>
    </xdr:to>
    <xdr:cxnSp macro="">
      <xdr:nvCxnSpPr>
        <xdr:cNvPr id="268" name="Straight Arrow Connector 267"/>
        <xdr:cNvCxnSpPr>
          <a:endCxn id="267" idx="3"/>
        </xdr:cNvCxnSpPr>
      </xdr:nvCxnSpPr>
      <xdr:spPr>
        <a:xfrm flipH="1">
          <a:off x="10048237216" y="60140021"/>
          <a:ext cx="1209288" cy="2526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7015362</xdr:colOff>
      <xdr:row>308</xdr:row>
      <xdr:rowOff>82819</xdr:rowOff>
    </xdr:from>
    <xdr:to>
      <xdr:col>1</xdr:col>
      <xdr:colOff>10137906</xdr:colOff>
      <xdr:row>313</xdr:row>
      <xdr:rowOff>115957</xdr:rowOff>
    </xdr:to>
    <xdr:sp macro="" textlink="">
      <xdr:nvSpPr>
        <xdr:cNvPr id="269" name="TextBox 268"/>
        <xdr:cNvSpPr txBox="1"/>
      </xdr:nvSpPr>
      <xdr:spPr>
        <a:xfrm>
          <a:off x="10042000442" y="59932949"/>
          <a:ext cx="3122544" cy="985638"/>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הזנת הפחת בגין השקעות הוניות שהושקעו במלון טרם המודל.</a:t>
          </a:r>
        </a:p>
      </xdr:txBody>
    </xdr:sp>
    <xdr:clientData/>
  </xdr:twoCellAnchor>
  <xdr:twoCellAnchor>
    <xdr:from>
      <xdr:col>1</xdr:col>
      <xdr:colOff>3876280</xdr:colOff>
      <xdr:row>324</xdr:row>
      <xdr:rowOff>132497</xdr:rowOff>
    </xdr:from>
    <xdr:to>
      <xdr:col>1</xdr:col>
      <xdr:colOff>6559845</xdr:colOff>
      <xdr:row>329</xdr:row>
      <xdr:rowOff>66260</xdr:rowOff>
    </xdr:to>
    <xdr:sp macro="" textlink="">
      <xdr:nvSpPr>
        <xdr:cNvPr id="271" name="TextBox 270"/>
        <xdr:cNvSpPr txBox="1"/>
      </xdr:nvSpPr>
      <xdr:spPr>
        <a:xfrm>
          <a:off x="10045578503" y="63030627"/>
          <a:ext cx="2683565" cy="88626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את מספר החודשים שאנו מפחיתים את הרכוש הקבוע שאנו רוכשים. בדוגמא המלון מפחית את הרכוש הקבוע על פני 120 חודשים (10 שנים).</a:t>
          </a:r>
        </a:p>
      </xdr:txBody>
    </xdr:sp>
    <xdr:clientData/>
  </xdr:twoCellAnchor>
  <xdr:twoCellAnchor>
    <xdr:from>
      <xdr:col>1</xdr:col>
      <xdr:colOff>2666992</xdr:colOff>
      <xdr:row>325</xdr:row>
      <xdr:rowOff>132521</xdr:rowOff>
    </xdr:from>
    <xdr:to>
      <xdr:col>1</xdr:col>
      <xdr:colOff>3876280</xdr:colOff>
      <xdr:row>327</xdr:row>
      <xdr:rowOff>4129</xdr:rowOff>
    </xdr:to>
    <xdr:cxnSp macro="">
      <xdr:nvCxnSpPr>
        <xdr:cNvPr id="272" name="Straight Arrow Connector 271"/>
        <xdr:cNvCxnSpPr>
          <a:endCxn id="271" idx="3"/>
        </xdr:cNvCxnSpPr>
      </xdr:nvCxnSpPr>
      <xdr:spPr>
        <a:xfrm flipH="1">
          <a:off x="10048262068" y="63221151"/>
          <a:ext cx="1209288" cy="2526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6990510</xdr:colOff>
      <xdr:row>324</xdr:row>
      <xdr:rowOff>115949</xdr:rowOff>
    </xdr:from>
    <xdr:to>
      <xdr:col>1</xdr:col>
      <xdr:colOff>10113054</xdr:colOff>
      <xdr:row>329</xdr:row>
      <xdr:rowOff>149087</xdr:rowOff>
    </xdr:to>
    <xdr:sp macro="" textlink="">
      <xdr:nvSpPr>
        <xdr:cNvPr id="273" name="TextBox 272"/>
        <xdr:cNvSpPr txBox="1"/>
      </xdr:nvSpPr>
      <xdr:spPr>
        <a:xfrm>
          <a:off x="10042025294" y="63014079"/>
          <a:ext cx="3122544" cy="985638"/>
        </a:xfrm>
        <a:prstGeom prst="rect">
          <a:avLst/>
        </a:prstGeom>
        <a:solidFill>
          <a:schemeClr val="accent4">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a:t>דיוק המודל:</a:t>
          </a:r>
        </a:p>
        <a:p>
          <a:pPr algn="r" rtl="1"/>
          <a:r>
            <a:rPr lang="he-IL" sz="1100" baseline="0"/>
            <a:t>ניתן לדייק את המודל על ידי השקעות הוניות שאנו מעוניינים לבצע לאורך התחזית של המודל ולבחון כיצד הן משתפות בתחזית.</a:t>
          </a:r>
        </a:p>
      </xdr:txBody>
    </xdr:sp>
    <xdr:clientData/>
  </xdr:twoCellAnchor>
  <xdr:twoCellAnchor>
    <xdr:from>
      <xdr:col>1</xdr:col>
      <xdr:colOff>3843176</xdr:colOff>
      <xdr:row>330</xdr:row>
      <xdr:rowOff>16540</xdr:rowOff>
    </xdr:from>
    <xdr:to>
      <xdr:col>1</xdr:col>
      <xdr:colOff>6526741</xdr:colOff>
      <xdr:row>336</xdr:row>
      <xdr:rowOff>124240</xdr:rowOff>
    </xdr:to>
    <xdr:sp macro="" textlink="">
      <xdr:nvSpPr>
        <xdr:cNvPr id="277" name="TextBox 276"/>
        <xdr:cNvSpPr txBox="1"/>
      </xdr:nvSpPr>
      <xdr:spPr>
        <a:xfrm>
          <a:off x="10045611607" y="64057670"/>
          <a:ext cx="2683565" cy="125070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he-IL" sz="1100" b="0" baseline="0"/>
            <a:t>יש להזין כיצד יש לזקוף את הפחת בגין ההשקעות ההוניות בהוצאות השונות בדוח הרווי והפסד.</a:t>
          </a:r>
        </a:p>
        <a:p>
          <a:pPr algn="r" rtl="1"/>
          <a:endParaRPr lang="he-IL" sz="1100" b="0" baseline="0"/>
        </a:p>
        <a:p>
          <a:pPr algn="r" rtl="1"/>
          <a:r>
            <a:rPr lang="he-IL" sz="1100" b="0" baseline="0"/>
            <a:t>*יש להשלים ל-100% בדיוק. אם הוזנו אחוזים שלא מסתכמים ל-100% המודל יראה בתחתית הטבלה כי ההזנה לא תקינה.</a:t>
          </a:r>
        </a:p>
      </xdr:txBody>
    </xdr:sp>
    <xdr:clientData/>
  </xdr:twoCellAnchor>
  <xdr:twoCellAnchor>
    <xdr:from>
      <xdr:col>1</xdr:col>
      <xdr:colOff>2791238</xdr:colOff>
      <xdr:row>333</xdr:row>
      <xdr:rowOff>70390</xdr:rowOff>
    </xdr:from>
    <xdr:to>
      <xdr:col>1</xdr:col>
      <xdr:colOff>3843176</xdr:colOff>
      <xdr:row>339</xdr:row>
      <xdr:rowOff>182218</xdr:rowOff>
    </xdr:to>
    <xdr:cxnSp macro="">
      <xdr:nvCxnSpPr>
        <xdr:cNvPr id="278" name="Straight Arrow Connector 277"/>
        <xdr:cNvCxnSpPr>
          <a:endCxn id="277" idx="3"/>
        </xdr:cNvCxnSpPr>
      </xdr:nvCxnSpPr>
      <xdr:spPr>
        <a:xfrm flipH="1" flipV="1">
          <a:off x="10048295172" y="64683020"/>
          <a:ext cx="1051938" cy="12548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438978</xdr:colOff>
      <xdr:row>357</xdr:row>
      <xdr:rowOff>16565</xdr:rowOff>
    </xdr:from>
    <xdr:to>
      <xdr:col>1</xdr:col>
      <xdr:colOff>9884465</xdr:colOff>
      <xdr:row>378</xdr:row>
      <xdr:rowOff>165945</xdr:rowOff>
    </xdr:to>
    <xdr:pic>
      <xdr:nvPicPr>
        <xdr:cNvPr id="281" name="Picture 28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042253883" y="68869891"/>
          <a:ext cx="10058400" cy="4149880"/>
        </a:xfrm>
        <a:prstGeom prst="rect">
          <a:avLst/>
        </a:prstGeom>
      </xdr:spPr>
    </xdr:pic>
    <xdr:clientData/>
  </xdr:twoCellAnchor>
  <xdr:twoCellAnchor editAs="oneCell">
    <xdr:from>
      <xdr:col>0</xdr:col>
      <xdr:colOff>534865</xdr:colOff>
      <xdr:row>385</xdr:row>
      <xdr:rowOff>117230</xdr:rowOff>
    </xdr:from>
    <xdr:to>
      <xdr:col>1</xdr:col>
      <xdr:colOff>3232366</xdr:colOff>
      <xdr:row>388</xdr:row>
      <xdr:rowOff>53567</xdr:rowOff>
    </xdr:to>
    <xdr:pic>
      <xdr:nvPicPr>
        <xdr:cNvPr id="282" name="Picture 281"/>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12609"/>
        <a:stretch/>
      </xdr:blipFill>
      <xdr:spPr>
        <a:xfrm>
          <a:off x="9970644249" y="74316980"/>
          <a:ext cx="3305636" cy="507837"/>
        </a:xfrm>
        <a:prstGeom prst="rect">
          <a:avLst/>
        </a:prstGeom>
      </xdr:spPr>
    </xdr:pic>
    <xdr:clientData/>
  </xdr:twoCellAnchor>
  <xdr:twoCellAnchor editAs="oneCell">
    <xdr:from>
      <xdr:col>0</xdr:col>
      <xdr:colOff>381001</xdr:colOff>
      <xdr:row>441</xdr:row>
      <xdr:rowOff>28575</xdr:rowOff>
    </xdr:from>
    <xdr:to>
      <xdr:col>1</xdr:col>
      <xdr:colOff>7267654</xdr:colOff>
      <xdr:row>452</xdr:row>
      <xdr:rowOff>104775</xdr:rowOff>
    </xdr:to>
    <xdr:pic>
      <xdr:nvPicPr>
        <xdr:cNvPr id="283" name="Picture 28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9990610496" y="85229700"/>
          <a:ext cx="7496253" cy="2171700"/>
        </a:xfrm>
        <a:prstGeom prst="rect">
          <a:avLst/>
        </a:prstGeom>
      </xdr:spPr>
    </xdr:pic>
    <xdr:clientData/>
  </xdr:twoCellAnchor>
  <xdr:twoCellAnchor editAs="oneCell">
    <xdr:from>
      <xdr:col>0</xdr:col>
      <xdr:colOff>457200</xdr:colOff>
      <xdr:row>424</xdr:row>
      <xdr:rowOff>111900</xdr:rowOff>
    </xdr:from>
    <xdr:to>
      <xdr:col>1</xdr:col>
      <xdr:colOff>7559296</xdr:colOff>
      <xdr:row>441</xdr:row>
      <xdr:rowOff>28575</xdr:rowOff>
    </xdr:to>
    <xdr:pic>
      <xdr:nvPicPr>
        <xdr:cNvPr id="284" name="Picture 28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990318854" y="82074525"/>
          <a:ext cx="7711696" cy="3155175"/>
        </a:xfrm>
        <a:prstGeom prst="rect">
          <a:avLst/>
        </a:prstGeom>
      </xdr:spPr>
    </xdr:pic>
    <xdr:clientData/>
  </xdr:twoCellAnchor>
  <xdr:twoCellAnchor>
    <xdr:from>
      <xdr:col>0</xdr:col>
      <xdr:colOff>-42858261</xdr:colOff>
      <xdr:row>274</xdr:row>
      <xdr:rowOff>130037</xdr:rowOff>
    </xdr:from>
    <xdr:to>
      <xdr:col>0</xdr:col>
      <xdr:colOff>-40174696</xdr:colOff>
      <xdr:row>278</xdr:row>
      <xdr:rowOff>171450</xdr:rowOff>
    </xdr:to>
    <xdr:sp macro="" textlink="">
      <xdr:nvSpPr>
        <xdr:cNvPr id="285" name="TextBox 284"/>
        <xdr:cNvSpPr txBox="1"/>
      </xdr:nvSpPr>
      <xdr:spPr>
        <a:xfrm>
          <a:off x="10038662446" y="53489087"/>
          <a:ext cx="2683565"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הוזן כי בעל/ת</a:t>
          </a:r>
          <a:r>
            <a:rPr lang="he-IL" sz="1100" baseline="0">
              <a:solidFill>
                <a:schemeClr val="dk1"/>
              </a:solidFill>
              <a:effectLst/>
              <a:latin typeface="+mn-lt"/>
              <a:ea typeface="+mn-ea"/>
              <a:cs typeface="+mn-cs"/>
            </a:rPr>
            <a:t> המלון י/תבצע מאמצים ויפחית את העלויות של המלון בכ-2,500.</a:t>
          </a:r>
          <a:endParaRPr lang="en-US">
            <a:effectLst/>
          </a:endParaRPr>
        </a:p>
        <a:p>
          <a:pPr marL="0" indent="0" algn="r" rtl="1"/>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0</xdr:col>
      <xdr:colOff>-45169158</xdr:colOff>
      <xdr:row>276</xdr:row>
      <xdr:rowOff>150744</xdr:rowOff>
    </xdr:from>
    <xdr:to>
      <xdr:col>0</xdr:col>
      <xdr:colOff>-42858261</xdr:colOff>
      <xdr:row>278</xdr:row>
      <xdr:rowOff>55493</xdr:rowOff>
    </xdr:to>
    <xdr:cxnSp macro="">
      <xdr:nvCxnSpPr>
        <xdr:cNvPr id="286" name="Straight Arrow Connector 285"/>
        <xdr:cNvCxnSpPr>
          <a:endCxn id="285" idx="3"/>
        </xdr:cNvCxnSpPr>
      </xdr:nvCxnSpPr>
      <xdr:spPr>
        <a:xfrm flipH="1" flipV="1">
          <a:off x="10041346011" y="53890794"/>
          <a:ext cx="2310897" cy="28574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8820307</xdr:colOff>
      <xdr:row>424</xdr:row>
      <xdr:rowOff>157251</xdr:rowOff>
    </xdr:from>
    <xdr:to>
      <xdr:col>2</xdr:col>
      <xdr:colOff>756950</xdr:colOff>
      <xdr:row>429</xdr:row>
      <xdr:rowOff>8164</xdr:rowOff>
    </xdr:to>
    <xdr:sp macro="" textlink="">
      <xdr:nvSpPr>
        <xdr:cNvPr id="287" name="TextBox 286"/>
        <xdr:cNvSpPr txBox="1"/>
      </xdr:nvSpPr>
      <xdr:spPr>
        <a:xfrm>
          <a:off x="9986367475" y="82119876"/>
          <a:ext cx="2690368"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ניתן</a:t>
          </a:r>
          <a:r>
            <a:rPr lang="he-IL" sz="1100" baseline="0">
              <a:solidFill>
                <a:schemeClr val="dk1"/>
              </a:solidFill>
              <a:effectLst/>
              <a:latin typeface="+mn-lt"/>
              <a:ea typeface="+mn-ea"/>
              <a:cs typeface="+mn-cs"/>
            </a:rPr>
            <a:t> לבחור חודש התחלה (כולל) וחודש סוף (כולל) ולראות איך הרווח והפסד נראה רק בטווח שביקשתם.</a:t>
          </a:r>
          <a:endParaRPr lang="en-US">
            <a:effectLst/>
          </a:endParaRPr>
        </a:p>
        <a:p>
          <a:pPr marL="0" indent="0" algn="r" rtl="1"/>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7505700</xdr:colOff>
      <xdr:row>426</xdr:row>
      <xdr:rowOff>66675</xdr:rowOff>
    </xdr:from>
    <xdr:to>
      <xdr:col>1</xdr:col>
      <xdr:colOff>8820307</xdr:colOff>
      <xdr:row>426</xdr:row>
      <xdr:rowOff>177958</xdr:rowOff>
    </xdr:to>
    <xdr:cxnSp macro="">
      <xdr:nvCxnSpPr>
        <xdr:cNvPr id="288" name="Straight Arrow Connector 287"/>
        <xdr:cNvCxnSpPr>
          <a:endCxn id="287" idx="3"/>
        </xdr:cNvCxnSpPr>
      </xdr:nvCxnSpPr>
      <xdr:spPr>
        <a:xfrm flipH="1">
          <a:off x="9989057843" y="82410300"/>
          <a:ext cx="1314607" cy="11128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8829832</xdr:colOff>
      <xdr:row>439</xdr:row>
      <xdr:rowOff>4851</xdr:rowOff>
    </xdr:from>
    <xdr:to>
      <xdr:col>2</xdr:col>
      <xdr:colOff>766475</xdr:colOff>
      <xdr:row>443</xdr:row>
      <xdr:rowOff>46264</xdr:rowOff>
    </xdr:to>
    <xdr:sp macro="" textlink="">
      <xdr:nvSpPr>
        <xdr:cNvPr id="289" name="TextBox 288"/>
        <xdr:cNvSpPr txBox="1"/>
      </xdr:nvSpPr>
      <xdr:spPr>
        <a:xfrm>
          <a:off x="9986357950" y="84824976"/>
          <a:ext cx="2690368"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דוחות גיול לקוחות וספקים</a:t>
          </a:r>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3257549</xdr:colOff>
      <xdr:row>441</xdr:row>
      <xdr:rowOff>25558</xdr:rowOff>
    </xdr:from>
    <xdr:to>
      <xdr:col>1</xdr:col>
      <xdr:colOff>8829832</xdr:colOff>
      <xdr:row>441</xdr:row>
      <xdr:rowOff>123825</xdr:rowOff>
    </xdr:to>
    <xdr:cxnSp macro="">
      <xdr:nvCxnSpPr>
        <xdr:cNvPr id="290" name="Straight Arrow Connector 289"/>
        <xdr:cNvCxnSpPr>
          <a:endCxn id="289" idx="3"/>
        </xdr:cNvCxnSpPr>
      </xdr:nvCxnSpPr>
      <xdr:spPr>
        <a:xfrm flipH="1" flipV="1">
          <a:off x="9989048318" y="85226683"/>
          <a:ext cx="5572283" cy="9826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7058025</xdr:colOff>
      <xdr:row>441</xdr:row>
      <xdr:rowOff>25558</xdr:rowOff>
    </xdr:from>
    <xdr:to>
      <xdr:col>1</xdr:col>
      <xdr:colOff>8829832</xdr:colOff>
      <xdr:row>442</xdr:row>
      <xdr:rowOff>180976</xdr:rowOff>
    </xdr:to>
    <xdr:cxnSp macro="">
      <xdr:nvCxnSpPr>
        <xdr:cNvPr id="293" name="Straight Arrow Connector 292"/>
        <xdr:cNvCxnSpPr>
          <a:endCxn id="289" idx="3"/>
        </xdr:cNvCxnSpPr>
      </xdr:nvCxnSpPr>
      <xdr:spPr>
        <a:xfrm flipH="1" flipV="1">
          <a:off x="9989048318" y="85226683"/>
          <a:ext cx="1771807" cy="34591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485776</xdr:colOff>
      <xdr:row>459</xdr:row>
      <xdr:rowOff>133350</xdr:rowOff>
    </xdr:from>
    <xdr:to>
      <xdr:col>1</xdr:col>
      <xdr:colOff>7491728</xdr:colOff>
      <xdr:row>476</xdr:row>
      <xdr:rowOff>9525</xdr:rowOff>
    </xdr:to>
    <xdr:pic>
      <xdr:nvPicPr>
        <xdr:cNvPr id="298" name="Picture 297"/>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990386422" y="88763475"/>
          <a:ext cx="7615552" cy="3114675"/>
        </a:xfrm>
        <a:prstGeom prst="rect">
          <a:avLst/>
        </a:prstGeom>
      </xdr:spPr>
    </xdr:pic>
    <xdr:clientData/>
  </xdr:twoCellAnchor>
  <xdr:twoCellAnchor editAs="oneCell">
    <xdr:from>
      <xdr:col>0</xdr:col>
      <xdr:colOff>400050</xdr:colOff>
      <xdr:row>476</xdr:row>
      <xdr:rowOff>92850</xdr:rowOff>
    </xdr:from>
    <xdr:to>
      <xdr:col>1</xdr:col>
      <xdr:colOff>7341530</xdr:colOff>
      <xdr:row>482</xdr:row>
      <xdr:rowOff>0</xdr:rowOff>
    </xdr:to>
    <xdr:pic>
      <xdr:nvPicPr>
        <xdr:cNvPr id="299" name="Picture 29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990536620" y="91961475"/>
          <a:ext cx="7551080" cy="1050150"/>
        </a:xfrm>
        <a:prstGeom prst="rect">
          <a:avLst/>
        </a:prstGeom>
      </xdr:spPr>
    </xdr:pic>
    <xdr:clientData/>
  </xdr:twoCellAnchor>
  <xdr:twoCellAnchor>
    <xdr:from>
      <xdr:col>1</xdr:col>
      <xdr:colOff>8815257</xdr:colOff>
      <xdr:row>459</xdr:row>
      <xdr:rowOff>166776</xdr:rowOff>
    </xdr:from>
    <xdr:to>
      <xdr:col>2</xdr:col>
      <xdr:colOff>751900</xdr:colOff>
      <xdr:row>464</xdr:row>
      <xdr:rowOff>17689</xdr:rowOff>
    </xdr:to>
    <xdr:sp macro="" textlink="">
      <xdr:nvSpPr>
        <xdr:cNvPr id="304" name="TextBox 303"/>
        <xdr:cNvSpPr txBox="1"/>
      </xdr:nvSpPr>
      <xdr:spPr>
        <a:xfrm>
          <a:off x="9986372525" y="88796901"/>
          <a:ext cx="2690368"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ניתן</a:t>
          </a:r>
          <a:r>
            <a:rPr lang="he-IL" sz="1100" baseline="0">
              <a:solidFill>
                <a:schemeClr val="dk1"/>
              </a:solidFill>
              <a:effectLst/>
              <a:latin typeface="+mn-lt"/>
              <a:ea typeface="+mn-ea"/>
              <a:cs typeface="+mn-cs"/>
            </a:rPr>
            <a:t> לבחור חודש התחלה (כולל) וחודש סוף (כולל) ולראות איך התזרים נראה רק בטווח שביקשתם.</a:t>
          </a:r>
          <a:endParaRPr lang="en-US">
            <a:effectLst/>
          </a:endParaRPr>
        </a:p>
        <a:p>
          <a:pPr marL="0" indent="0" algn="r" rtl="1"/>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7500650</xdr:colOff>
      <xdr:row>461</xdr:row>
      <xdr:rowOff>76200</xdr:rowOff>
    </xdr:from>
    <xdr:to>
      <xdr:col>1</xdr:col>
      <xdr:colOff>8815257</xdr:colOff>
      <xdr:row>461</xdr:row>
      <xdr:rowOff>187483</xdr:rowOff>
    </xdr:to>
    <xdr:cxnSp macro="">
      <xdr:nvCxnSpPr>
        <xdr:cNvPr id="305" name="Straight Arrow Connector 304"/>
        <xdr:cNvCxnSpPr>
          <a:endCxn id="304" idx="3"/>
        </xdr:cNvCxnSpPr>
      </xdr:nvCxnSpPr>
      <xdr:spPr>
        <a:xfrm flipH="1">
          <a:off x="9989062893" y="89087325"/>
          <a:ext cx="1314607" cy="11128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8824782</xdr:colOff>
      <xdr:row>474</xdr:row>
      <xdr:rowOff>14376</xdr:rowOff>
    </xdr:from>
    <xdr:to>
      <xdr:col>2</xdr:col>
      <xdr:colOff>761425</xdr:colOff>
      <xdr:row>478</xdr:row>
      <xdr:rowOff>55789</xdr:rowOff>
    </xdr:to>
    <xdr:sp macro="" textlink="">
      <xdr:nvSpPr>
        <xdr:cNvPr id="306" name="TextBox 305"/>
        <xdr:cNvSpPr txBox="1"/>
      </xdr:nvSpPr>
      <xdr:spPr>
        <a:xfrm>
          <a:off x="9986363000" y="91502001"/>
          <a:ext cx="2690368" cy="80341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100">
              <a:solidFill>
                <a:schemeClr val="dk1"/>
              </a:solidFill>
              <a:effectLst/>
              <a:latin typeface="+mn-lt"/>
              <a:ea typeface="+mn-ea"/>
              <a:cs typeface="+mn-cs"/>
            </a:rPr>
            <a:t>יתרות מזומנים</a:t>
          </a:r>
          <a:r>
            <a:rPr lang="he-IL" sz="1100" baseline="0">
              <a:solidFill>
                <a:schemeClr val="dk1"/>
              </a:solidFill>
              <a:effectLst/>
              <a:latin typeface="+mn-lt"/>
              <a:ea typeface="+mn-ea"/>
              <a:cs typeface="+mn-cs"/>
            </a:rPr>
            <a:t> בקופת המלון.</a:t>
          </a:r>
          <a:endParaRPr lang="he-IL" sz="1100" baseline="0">
            <a:solidFill>
              <a:schemeClr val="dk1"/>
            </a:solidFill>
            <a:latin typeface="+mn-lt"/>
            <a:ea typeface="+mn-ea"/>
            <a:cs typeface="+mn-cs"/>
          </a:endParaRPr>
        </a:p>
        <a:p>
          <a:pPr marL="0" indent="0" algn="r" rtl="1"/>
          <a:endParaRPr lang="he-IL" sz="1100">
            <a:solidFill>
              <a:schemeClr val="dk1"/>
            </a:solidFill>
            <a:latin typeface="+mn-lt"/>
            <a:ea typeface="+mn-ea"/>
            <a:cs typeface="+mn-cs"/>
          </a:endParaRPr>
        </a:p>
      </xdr:txBody>
    </xdr:sp>
    <xdr:clientData/>
  </xdr:twoCellAnchor>
  <xdr:twoCellAnchor>
    <xdr:from>
      <xdr:col>1</xdr:col>
      <xdr:colOff>7052975</xdr:colOff>
      <xdr:row>476</xdr:row>
      <xdr:rowOff>35083</xdr:rowOff>
    </xdr:from>
    <xdr:to>
      <xdr:col>1</xdr:col>
      <xdr:colOff>8824782</xdr:colOff>
      <xdr:row>478</xdr:row>
      <xdr:rowOff>1</xdr:rowOff>
    </xdr:to>
    <xdr:cxnSp macro="">
      <xdr:nvCxnSpPr>
        <xdr:cNvPr id="307" name="Straight Arrow Connector 306"/>
        <xdr:cNvCxnSpPr>
          <a:endCxn id="306" idx="3"/>
        </xdr:cNvCxnSpPr>
      </xdr:nvCxnSpPr>
      <xdr:spPr>
        <a:xfrm flipH="1" flipV="1">
          <a:off x="9989053368" y="91903708"/>
          <a:ext cx="1771807" cy="34591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1</xdr:row>
      <xdr:rowOff>114299</xdr:rowOff>
    </xdr:from>
    <xdr:to>
      <xdr:col>18</xdr:col>
      <xdr:colOff>647701</xdr:colOff>
      <xdr:row>18</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809625</xdr:colOff>
      <xdr:row>19</xdr:row>
      <xdr:rowOff>19050</xdr:rowOff>
    </xdr:from>
    <xdr:to>
      <xdr:col>28</xdr:col>
      <xdr:colOff>438150</xdr:colOff>
      <xdr:row>34</xdr:row>
      <xdr:rowOff>310606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xdr:row>
      <xdr:rowOff>0</xdr:rowOff>
    </xdr:from>
    <xdr:to>
      <xdr:col>18</xdr:col>
      <xdr:colOff>647700</xdr:colOff>
      <xdr:row>34</xdr:row>
      <xdr:rowOff>314324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828675</xdr:colOff>
      <xdr:row>1</xdr:row>
      <xdr:rowOff>114300</xdr:rowOff>
    </xdr:from>
    <xdr:to>
      <xdr:col>28</xdr:col>
      <xdr:colOff>457200</xdr:colOff>
      <xdr:row>18</xdr:row>
      <xdr:rowOff>57150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D6:T42"/>
  <sheetViews>
    <sheetView rightToLeft="1" tabSelected="1" view="pageBreakPreview" zoomScaleNormal="100" zoomScaleSheetLayoutView="100" workbookViewId="0">
      <selection activeCell="A34" sqref="A34"/>
    </sheetView>
  </sheetViews>
  <sheetFormatPr defaultRowHeight="15" x14ac:dyDescent="0.25"/>
  <cols>
    <col min="16" max="16" width="13.28515625" customWidth="1"/>
  </cols>
  <sheetData>
    <row r="6" spans="20:20" ht="23.25" x14ac:dyDescent="0.35">
      <c r="T6" s="16"/>
    </row>
    <row r="29" ht="9.75" customHeight="1" x14ac:dyDescent="0.25"/>
    <row r="38" spans="4:5" x14ac:dyDescent="0.25">
      <c r="D38" s="7"/>
      <c r="E38" s="7"/>
    </row>
    <row r="39" spans="4:5" x14ac:dyDescent="0.25">
      <c r="D39" s="7"/>
      <c r="E39" s="7"/>
    </row>
    <row r="40" spans="4:5" x14ac:dyDescent="0.25">
      <c r="D40" s="7"/>
      <c r="E40" s="7"/>
    </row>
    <row r="41" spans="4:5" x14ac:dyDescent="0.25">
      <c r="D41" s="7"/>
      <c r="E41" s="7"/>
    </row>
    <row r="42" spans="4:5" x14ac:dyDescent="0.25">
      <c r="D42" s="7"/>
      <c r="E42"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AU133"/>
  <sheetViews>
    <sheetView showGridLines="0" rightToLeft="1" zoomScaleNormal="100" workbookViewId="0">
      <selection activeCell="E20" sqref="E20"/>
    </sheetView>
  </sheetViews>
  <sheetFormatPr defaultRowHeight="15" x14ac:dyDescent="0.25"/>
  <cols>
    <col min="1" max="2" width="3.42578125" customWidth="1"/>
    <col min="3" max="3" width="48.140625" customWidth="1"/>
    <col min="4" max="8" width="1.5703125" customWidth="1"/>
    <col min="9" max="10" width="13.5703125" customWidth="1"/>
    <col min="11" max="13" width="11.7109375" bestFit="1" customWidth="1"/>
    <col min="14" max="22" width="10.85546875" bestFit="1" customWidth="1"/>
    <col min="23" max="23" width="10.7109375" style="7" customWidth="1"/>
    <col min="26" max="26" width="50.7109375" style="7" bestFit="1" customWidth="1"/>
    <col min="27" max="30" width="2" style="7" customWidth="1"/>
    <col min="31" max="31" width="0.140625" style="7" customWidth="1"/>
    <col min="32" max="32" width="14.7109375" style="7" customWidth="1"/>
    <col min="33" max="36" width="11.7109375" style="7" bestFit="1" customWidth="1"/>
    <col min="37" max="45" width="10.85546875" style="7" bestFit="1" customWidth="1"/>
    <col min="46" max="46" width="10.7109375" style="7" customWidth="1"/>
    <col min="47" max="47" width="9.140625" style="7"/>
  </cols>
  <sheetData>
    <row r="1" spans="3:47" ht="15.75" thickBot="1" x14ac:dyDescent="0.3"/>
    <row r="2" spans="3:47" s="7" customFormat="1" ht="26.25" x14ac:dyDescent="0.4">
      <c r="C2" s="183" t="s">
        <v>269</v>
      </c>
      <c r="D2" s="34"/>
      <c r="E2" s="34"/>
      <c r="F2" s="34"/>
      <c r="G2" s="34"/>
      <c r="H2" s="34"/>
      <c r="I2" s="34" t="s">
        <v>321</v>
      </c>
      <c r="J2" s="34">
        <f>הנחות!F6</f>
        <v>43983</v>
      </c>
      <c r="K2" s="34">
        <f>EDATE(J2,1)</f>
        <v>44013</v>
      </c>
      <c r="L2" s="34">
        <f t="shared" ref="L2:W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34">
        <f t="shared" si="0"/>
        <v>44378</v>
      </c>
      <c r="X2" s="20" t="s">
        <v>23</v>
      </c>
      <c r="Z2" s="183" t="s">
        <v>271</v>
      </c>
      <c r="AA2" s="34"/>
      <c r="AB2" s="34"/>
      <c r="AC2" s="34"/>
      <c r="AD2" s="34"/>
      <c r="AE2" s="34"/>
      <c r="AF2" s="34" t="s">
        <v>193</v>
      </c>
      <c r="AG2" s="34">
        <f>הנחות!F6</f>
        <v>43983</v>
      </c>
      <c r="AH2" s="34">
        <f>EDATE(AG2,1)</f>
        <v>44013</v>
      </c>
      <c r="AI2" s="34">
        <f t="shared" ref="AI2:AT2" si="1">EDATE(AH2,1)</f>
        <v>44044</v>
      </c>
      <c r="AJ2" s="34">
        <f t="shared" si="1"/>
        <v>44075</v>
      </c>
      <c r="AK2" s="34">
        <f t="shared" si="1"/>
        <v>44105</v>
      </c>
      <c r="AL2" s="34">
        <f t="shared" si="1"/>
        <v>44136</v>
      </c>
      <c r="AM2" s="34">
        <f t="shared" si="1"/>
        <v>44166</v>
      </c>
      <c r="AN2" s="34">
        <f t="shared" si="1"/>
        <v>44197</v>
      </c>
      <c r="AO2" s="34">
        <f t="shared" si="1"/>
        <v>44228</v>
      </c>
      <c r="AP2" s="34">
        <f t="shared" si="1"/>
        <v>44256</v>
      </c>
      <c r="AQ2" s="34">
        <f t="shared" si="1"/>
        <v>44287</v>
      </c>
      <c r="AR2" s="34">
        <f t="shared" si="1"/>
        <v>44317</v>
      </c>
      <c r="AS2" s="34">
        <f t="shared" si="1"/>
        <v>44348</v>
      </c>
      <c r="AT2" s="34">
        <f t="shared" si="1"/>
        <v>44378</v>
      </c>
      <c r="AU2" s="20" t="s">
        <v>23</v>
      </c>
    </row>
    <row r="3" spans="3:47" s="7" customFormat="1" ht="15.75" x14ac:dyDescent="0.25">
      <c r="C3" s="24"/>
      <c r="D3" s="150"/>
      <c r="E3" s="150"/>
      <c r="F3" s="40"/>
      <c r="G3" s="40"/>
      <c r="H3" s="71"/>
      <c r="I3" s="40"/>
      <c r="J3" s="19"/>
      <c r="K3" s="19"/>
      <c r="L3" s="19"/>
      <c r="M3" s="19"/>
      <c r="N3" s="19"/>
      <c r="O3" s="19"/>
      <c r="P3" s="19"/>
      <c r="Q3" s="19"/>
      <c r="R3" s="19"/>
      <c r="S3" s="19"/>
      <c r="T3" s="19"/>
      <c r="U3" s="19"/>
      <c r="V3" s="19"/>
      <c r="W3" s="19"/>
      <c r="X3" s="21"/>
      <c r="Z3" s="24"/>
      <c r="AA3" s="150"/>
      <c r="AB3" s="150"/>
      <c r="AC3" s="40"/>
      <c r="AD3" s="40"/>
      <c r="AE3" s="71"/>
      <c r="AF3" s="40"/>
      <c r="AG3" s="19">
        <f>MONTH(AG2)</f>
        <v>6</v>
      </c>
      <c r="AH3" s="19">
        <f t="shared" ref="AH3:AT3" si="2">MONTH(AH2)</f>
        <v>7</v>
      </c>
      <c r="AI3" s="19">
        <f t="shared" si="2"/>
        <v>8</v>
      </c>
      <c r="AJ3" s="19">
        <f t="shared" si="2"/>
        <v>9</v>
      </c>
      <c r="AK3" s="19">
        <f t="shared" si="2"/>
        <v>10</v>
      </c>
      <c r="AL3" s="19">
        <f t="shared" si="2"/>
        <v>11</v>
      </c>
      <c r="AM3" s="19">
        <f t="shared" si="2"/>
        <v>12</v>
      </c>
      <c r="AN3" s="19">
        <f t="shared" si="2"/>
        <v>1</v>
      </c>
      <c r="AO3" s="19">
        <f t="shared" si="2"/>
        <v>2</v>
      </c>
      <c r="AP3" s="19">
        <f t="shared" si="2"/>
        <v>3</v>
      </c>
      <c r="AQ3" s="19">
        <f t="shared" si="2"/>
        <v>4</v>
      </c>
      <c r="AR3" s="19">
        <f t="shared" si="2"/>
        <v>5</v>
      </c>
      <c r="AS3" s="19">
        <f t="shared" si="2"/>
        <v>6</v>
      </c>
      <c r="AT3" s="19">
        <f t="shared" si="2"/>
        <v>7</v>
      </c>
      <c r="AU3" s="21"/>
    </row>
    <row r="4" spans="3:47" s="7" customFormat="1" ht="15.75" x14ac:dyDescent="0.25">
      <c r="C4" s="282" t="s">
        <v>322</v>
      </c>
      <c r="D4" s="150"/>
      <c r="E4" s="150"/>
      <c r="F4" s="40"/>
      <c r="G4" s="40"/>
      <c r="H4" s="71"/>
      <c r="I4" s="40"/>
      <c r="J4" s="283">
        <f>YEAR(J2)</f>
        <v>2020</v>
      </c>
      <c r="K4" s="283">
        <f t="shared" ref="K4:V4" si="3">YEAR(K2)</f>
        <v>2020</v>
      </c>
      <c r="L4" s="283">
        <f t="shared" si="3"/>
        <v>2020</v>
      </c>
      <c r="M4" s="283">
        <f t="shared" si="3"/>
        <v>2020</v>
      </c>
      <c r="N4" s="283">
        <f t="shared" si="3"/>
        <v>2020</v>
      </c>
      <c r="O4" s="283">
        <f t="shared" si="3"/>
        <v>2020</v>
      </c>
      <c r="P4" s="283">
        <f t="shared" si="3"/>
        <v>2020</v>
      </c>
      <c r="Q4" s="283">
        <f t="shared" si="3"/>
        <v>2021</v>
      </c>
      <c r="R4" s="283">
        <f t="shared" si="3"/>
        <v>2021</v>
      </c>
      <c r="S4" s="283">
        <f t="shared" si="3"/>
        <v>2021</v>
      </c>
      <c r="T4" s="283">
        <f t="shared" si="3"/>
        <v>2021</v>
      </c>
      <c r="U4" s="283">
        <f t="shared" si="3"/>
        <v>2021</v>
      </c>
      <c r="V4" s="283">
        <f t="shared" si="3"/>
        <v>2021</v>
      </c>
      <c r="W4" s="19"/>
      <c r="X4" s="21"/>
      <c r="Z4" s="282" t="s">
        <v>322</v>
      </c>
      <c r="AA4" s="150"/>
      <c r="AB4" s="150"/>
      <c r="AC4" s="40"/>
      <c r="AD4" s="40"/>
      <c r="AE4" s="71"/>
      <c r="AF4" s="40"/>
      <c r="AG4" s="283">
        <f>YEAR(AG2)</f>
        <v>2020</v>
      </c>
      <c r="AH4" s="283">
        <f t="shared" ref="AH4:AS4" si="4">YEAR(AH2)</f>
        <v>2020</v>
      </c>
      <c r="AI4" s="283">
        <f t="shared" si="4"/>
        <v>2020</v>
      </c>
      <c r="AJ4" s="283">
        <f t="shared" si="4"/>
        <v>2020</v>
      </c>
      <c r="AK4" s="283">
        <f t="shared" si="4"/>
        <v>2020</v>
      </c>
      <c r="AL4" s="283">
        <f t="shared" si="4"/>
        <v>2020</v>
      </c>
      <c r="AM4" s="283">
        <f t="shared" si="4"/>
        <v>2020</v>
      </c>
      <c r="AN4" s="283">
        <f t="shared" si="4"/>
        <v>2021</v>
      </c>
      <c r="AO4" s="283">
        <f t="shared" si="4"/>
        <v>2021</v>
      </c>
      <c r="AP4" s="283">
        <f t="shared" si="4"/>
        <v>2021</v>
      </c>
      <c r="AQ4" s="283">
        <f t="shared" si="4"/>
        <v>2021</v>
      </c>
      <c r="AR4" s="283">
        <f t="shared" si="4"/>
        <v>2021</v>
      </c>
      <c r="AS4" s="283">
        <f t="shared" si="4"/>
        <v>2021</v>
      </c>
      <c r="AT4" s="19"/>
      <c r="AU4" s="21"/>
    </row>
    <row r="5" spans="3:47" s="7" customFormat="1" ht="15.75" x14ac:dyDescent="0.25">
      <c r="C5" s="282" t="s">
        <v>323</v>
      </c>
      <c r="D5" s="150"/>
      <c r="E5" s="150"/>
      <c r="F5" s="40"/>
      <c r="G5" s="40"/>
      <c r="H5" s="71"/>
      <c r="I5" s="40"/>
      <c r="J5" s="19">
        <f>MONTH(J2)</f>
        <v>6</v>
      </c>
      <c r="K5" s="19">
        <f t="shared" ref="K5:V5" si="5">MONTH(K2)</f>
        <v>7</v>
      </c>
      <c r="L5" s="19">
        <f t="shared" si="5"/>
        <v>8</v>
      </c>
      <c r="M5" s="19">
        <f t="shared" si="5"/>
        <v>9</v>
      </c>
      <c r="N5" s="19">
        <f t="shared" si="5"/>
        <v>10</v>
      </c>
      <c r="O5" s="19">
        <f t="shared" si="5"/>
        <v>11</v>
      </c>
      <c r="P5" s="19">
        <f t="shared" si="5"/>
        <v>12</v>
      </c>
      <c r="Q5" s="19">
        <f t="shared" si="5"/>
        <v>1</v>
      </c>
      <c r="R5" s="19">
        <f t="shared" si="5"/>
        <v>2</v>
      </c>
      <c r="S5" s="19">
        <f t="shared" si="5"/>
        <v>3</v>
      </c>
      <c r="T5" s="19">
        <f t="shared" si="5"/>
        <v>4</v>
      </c>
      <c r="U5" s="19">
        <f t="shared" si="5"/>
        <v>5</v>
      </c>
      <c r="V5" s="19">
        <f t="shared" si="5"/>
        <v>6</v>
      </c>
      <c r="W5" s="19"/>
      <c r="X5" s="21"/>
      <c r="Z5" s="282" t="s">
        <v>323</v>
      </c>
      <c r="AA5" s="150"/>
      <c r="AB5" s="150"/>
      <c r="AC5" s="40"/>
      <c r="AD5" s="40"/>
      <c r="AE5" s="71"/>
      <c r="AF5" s="40"/>
      <c r="AG5" s="19">
        <f>MONTH(AG2)</f>
        <v>6</v>
      </c>
      <c r="AH5" s="19">
        <f t="shared" ref="AH5:AS5" si="6">MONTH(AH2)</f>
        <v>7</v>
      </c>
      <c r="AI5" s="19">
        <f t="shared" si="6"/>
        <v>8</v>
      </c>
      <c r="AJ5" s="19">
        <f t="shared" si="6"/>
        <v>9</v>
      </c>
      <c r="AK5" s="19">
        <f t="shared" si="6"/>
        <v>10</v>
      </c>
      <c r="AL5" s="19">
        <f t="shared" si="6"/>
        <v>11</v>
      </c>
      <c r="AM5" s="19">
        <f t="shared" si="6"/>
        <v>12</v>
      </c>
      <c r="AN5" s="19">
        <f t="shared" si="6"/>
        <v>1</v>
      </c>
      <c r="AO5" s="19">
        <f t="shared" si="6"/>
        <v>2</v>
      </c>
      <c r="AP5" s="19">
        <f t="shared" si="6"/>
        <v>3</v>
      </c>
      <c r="AQ5" s="19">
        <f t="shared" si="6"/>
        <v>4</v>
      </c>
      <c r="AR5" s="19">
        <f t="shared" si="6"/>
        <v>5</v>
      </c>
      <c r="AS5" s="19">
        <f t="shared" si="6"/>
        <v>6</v>
      </c>
      <c r="AT5" s="19"/>
      <c r="AU5" s="21"/>
    </row>
    <row r="6" spans="3:47" s="7" customFormat="1" ht="15.75" x14ac:dyDescent="0.25">
      <c r="C6" s="282" t="s">
        <v>324</v>
      </c>
      <c r="D6" s="150"/>
      <c r="E6" s="150"/>
      <c r="F6" s="40"/>
      <c r="G6" s="40"/>
      <c r="H6" s="71"/>
      <c r="I6" s="40"/>
      <c r="J6" s="19">
        <f>DAY(J2)</f>
        <v>1</v>
      </c>
      <c r="K6" s="19">
        <f t="shared" ref="K6:V6" si="7">DAY(K2)</f>
        <v>1</v>
      </c>
      <c r="L6" s="19">
        <f t="shared" si="7"/>
        <v>1</v>
      </c>
      <c r="M6" s="19">
        <f t="shared" si="7"/>
        <v>1</v>
      </c>
      <c r="N6" s="19">
        <f t="shared" si="7"/>
        <v>1</v>
      </c>
      <c r="O6" s="19">
        <f t="shared" si="7"/>
        <v>1</v>
      </c>
      <c r="P6" s="19">
        <f t="shared" si="7"/>
        <v>1</v>
      </c>
      <c r="Q6" s="19">
        <f t="shared" si="7"/>
        <v>1</v>
      </c>
      <c r="R6" s="19">
        <f t="shared" si="7"/>
        <v>1</v>
      </c>
      <c r="S6" s="19">
        <f t="shared" si="7"/>
        <v>1</v>
      </c>
      <c r="T6" s="19">
        <f t="shared" si="7"/>
        <v>1</v>
      </c>
      <c r="U6" s="19">
        <f t="shared" si="7"/>
        <v>1</v>
      </c>
      <c r="V6" s="19">
        <f t="shared" si="7"/>
        <v>1</v>
      </c>
      <c r="W6" s="19"/>
      <c r="X6" s="21"/>
      <c r="Z6" s="282" t="s">
        <v>324</v>
      </c>
      <c r="AA6" s="150"/>
      <c r="AB6" s="150"/>
      <c r="AC6" s="40"/>
      <c r="AD6" s="40"/>
      <c r="AE6" s="71"/>
      <c r="AF6" s="40"/>
      <c r="AG6" s="19">
        <f>DAY(AG2)</f>
        <v>1</v>
      </c>
      <c r="AH6" s="19">
        <f t="shared" ref="AH6:AS6" si="8">DAY(AH2)</f>
        <v>1</v>
      </c>
      <c r="AI6" s="19">
        <f t="shared" si="8"/>
        <v>1</v>
      </c>
      <c r="AJ6" s="19">
        <f t="shared" si="8"/>
        <v>1</v>
      </c>
      <c r="AK6" s="19">
        <f t="shared" si="8"/>
        <v>1</v>
      </c>
      <c r="AL6" s="19">
        <f t="shared" si="8"/>
        <v>1</v>
      </c>
      <c r="AM6" s="19">
        <f t="shared" si="8"/>
        <v>1</v>
      </c>
      <c r="AN6" s="19">
        <f t="shared" si="8"/>
        <v>1</v>
      </c>
      <c r="AO6" s="19">
        <f t="shared" si="8"/>
        <v>1</v>
      </c>
      <c r="AP6" s="19">
        <f t="shared" si="8"/>
        <v>1</v>
      </c>
      <c r="AQ6" s="19">
        <f t="shared" si="8"/>
        <v>1</v>
      </c>
      <c r="AR6" s="19">
        <f t="shared" si="8"/>
        <v>1</v>
      </c>
      <c r="AS6" s="19">
        <f t="shared" si="8"/>
        <v>1</v>
      </c>
      <c r="AT6" s="19"/>
      <c r="AU6" s="21"/>
    </row>
    <row r="7" spans="3:47" s="7" customFormat="1" ht="16.5" thickBot="1" x14ac:dyDescent="0.3">
      <c r="C7" s="23" t="s">
        <v>188</v>
      </c>
      <c r="D7" s="150"/>
      <c r="E7" s="150"/>
      <c r="F7" s="40"/>
      <c r="G7" s="40"/>
      <c r="H7" s="40"/>
      <c r="I7" s="40"/>
      <c r="J7" s="57"/>
      <c r="K7" s="57"/>
      <c r="L7" s="57"/>
      <c r="M7" s="57"/>
      <c r="N7" s="57"/>
      <c r="O7" s="57"/>
      <c r="P7" s="57"/>
      <c r="Q7" s="57"/>
      <c r="R7" s="57"/>
      <c r="S7" s="57"/>
      <c r="T7" s="57"/>
      <c r="U7" s="57"/>
      <c r="V7" s="57"/>
      <c r="W7" s="57"/>
      <c r="X7" s="72"/>
      <c r="Z7" s="23" t="s">
        <v>188</v>
      </c>
      <c r="AA7" s="150"/>
      <c r="AB7" s="150"/>
      <c r="AC7" s="40"/>
      <c r="AD7" s="40"/>
      <c r="AE7" s="40"/>
      <c r="AF7" s="40"/>
      <c r="AG7" s="57"/>
      <c r="AH7" s="57"/>
      <c r="AI7" s="57"/>
      <c r="AJ7" s="57"/>
      <c r="AK7" s="57"/>
      <c r="AL7" s="57"/>
      <c r="AM7" s="57"/>
      <c r="AN7" s="57"/>
      <c r="AO7" s="57"/>
      <c r="AP7" s="57"/>
      <c r="AQ7" s="57"/>
      <c r="AR7" s="57"/>
      <c r="AS7" s="57"/>
      <c r="AT7" s="57"/>
      <c r="AU7" s="72"/>
    </row>
    <row r="8" spans="3:47" s="7" customFormat="1" ht="16.5" thickBot="1" x14ac:dyDescent="0.3">
      <c r="C8" s="24" t="s">
        <v>62</v>
      </c>
      <c r="D8" s="150"/>
      <c r="E8" s="286">
        <f>Dashboard!D4</f>
        <v>43983</v>
      </c>
      <c r="F8" s="40"/>
      <c r="G8" s="40"/>
      <c r="H8" s="40"/>
      <c r="I8" s="40">
        <v>0</v>
      </c>
      <c r="J8" s="285">
        <f>IF(J2&gt;=$E$8,I8+1,0)</f>
        <v>1</v>
      </c>
      <c r="K8" s="285">
        <f t="shared" ref="K8:V8" si="9">IF(K2&gt;=$E$8,J8+1,0)</f>
        <v>2</v>
      </c>
      <c r="L8" s="285">
        <f t="shared" si="9"/>
        <v>3</v>
      </c>
      <c r="M8" s="285">
        <f t="shared" si="9"/>
        <v>4</v>
      </c>
      <c r="N8" s="285">
        <f t="shared" si="9"/>
        <v>5</v>
      </c>
      <c r="O8" s="285">
        <f t="shared" si="9"/>
        <v>6</v>
      </c>
      <c r="P8" s="285">
        <f t="shared" si="9"/>
        <v>7</v>
      </c>
      <c r="Q8" s="285">
        <f t="shared" si="9"/>
        <v>8</v>
      </c>
      <c r="R8" s="285">
        <f t="shared" si="9"/>
        <v>9</v>
      </c>
      <c r="S8" s="285">
        <f t="shared" si="9"/>
        <v>10</v>
      </c>
      <c r="T8" s="285">
        <f t="shared" si="9"/>
        <v>11</v>
      </c>
      <c r="U8" s="285">
        <f t="shared" si="9"/>
        <v>12</v>
      </c>
      <c r="V8" s="285">
        <f t="shared" si="9"/>
        <v>13</v>
      </c>
      <c r="W8" s="57"/>
      <c r="X8" s="72"/>
      <c r="Z8" s="24" t="s">
        <v>62</v>
      </c>
      <c r="AA8" s="150"/>
      <c r="AB8" s="150"/>
      <c r="AC8" s="40"/>
      <c r="AD8" s="71">
        <f>הנחות!F6</f>
        <v>43983</v>
      </c>
      <c r="AE8" s="40"/>
      <c r="AF8" s="40">
        <v>0</v>
      </c>
      <c r="AG8" s="285">
        <f>IF(AG2&gt;=$AD$8,AF8+1,0)</f>
        <v>1</v>
      </c>
      <c r="AH8" s="285">
        <f t="shared" ref="AH8:AS8" si="10">IF(AH2&gt;=$AD$8,AG8+1,0)</f>
        <v>2</v>
      </c>
      <c r="AI8" s="285">
        <f t="shared" si="10"/>
        <v>3</v>
      </c>
      <c r="AJ8" s="285">
        <f t="shared" si="10"/>
        <v>4</v>
      </c>
      <c r="AK8" s="285">
        <f t="shared" si="10"/>
        <v>5</v>
      </c>
      <c r="AL8" s="285">
        <f t="shared" si="10"/>
        <v>6</v>
      </c>
      <c r="AM8" s="285">
        <f t="shared" si="10"/>
        <v>7</v>
      </c>
      <c r="AN8" s="285">
        <f t="shared" si="10"/>
        <v>8</v>
      </c>
      <c r="AO8" s="285">
        <f t="shared" si="10"/>
        <v>9</v>
      </c>
      <c r="AP8" s="285">
        <f t="shared" si="10"/>
        <v>10</v>
      </c>
      <c r="AQ8" s="285">
        <f t="shared" si="10"/>
        <v>11</v>
      </c>
      <c r="AR8" s="285">
        <f t="shared" si="10"/>
        <v>12</v>
      </c>
      <c r="AS8" s="285">
        <f t="shared" si="10"/>
        <v>13</v>
      </c>
      <c r="AT8" s="57"/>
      <c r="AU8" s="72"/>
    </row>
    <row r="9" spans="3:47" s="7" customFormat="1" ht="16.5" thickBot="1" x14ac:dyDescent="0.3">
      <c r="C9" s="24" t="s">
        <v>189</v>
      </c>
      <c r="D9" s="40"/>
      <c r="E9" s="58">
        <f>הנחות!J43</f>
        <v>800000</v>
      </c>
      <c r="H9" s="40"/>
      <c r="I9" s="40"/>
      <c r="J9" s="178">
        <f>E9</f>
        <v>800000</v>
      </c>
      <c r="K9" s="178">
        <f>J11</f>
        <v>400000</v>
      </c>
      <c r="L9" s="178">
        <f t="shared" ref="L9:V9" si="11">K11</f>
        <v>0</v>
      </c>
      <c r="M9" s="178">
        <f t="shared" si="11"/>
        <v>0</v>
      </c>
      <c r="N9" s="178">
        <f t="shared" si="11"/>
        <v>0</v>
      </c>
      <c r="O9" s="178">
        <f t="shared" si="11"/>
        <v>0</v>
      </c>
      <c r="P9" s="178">
        <f t="shared" si="11"/>
        <v>0</v>
      </c>
      <c r="Q9" s="178">
        <f t="shared" si="11"/>
        <v>0</v>
      </c>
      <c r="R9" s="178">
        <f t="shared" si="11"/>
        <v>0</v>
      </c>
      <c r="S9" s="178">
        <f t="shared" si="11"/>
        <v>0</v>
      </c>
      <c r="T9" s="178">
        <f t="shared" si="11"/>
        <v>0</v>
      </c>
      <c r="U9" s="178">
        <f t="shared" si="11"/>
        <v>0</v>
      </c>
      <c r="V9" s="178">
        <f t="shared" si="11"/>
        <v>0</v>
      </c>
      <c r="W9" s="57"/>
      <c r="X9" s="72"/>
      <c r="Z9" s="24" t="s">
        <v>189</v>
      </c>
      <c r="AA9" s="150"/>
      <c r="AB9" s="150"/>
      <c r="AC9" s="40"/>
      <c r="AD9" s="58"/>
      <c r="AE9" s="40"/>
      <c r="AF9" s="40"/>
      <c r="AG9" s="178">
        <f>AD9</f>
        <v>0</v>
      </c>
      <c r="AH9" s="178">
        <f>AG11</f>
        <v>0</v>
      </c>
      <c r="AI9" s="178">
        <f t="shared" ref="AI9" si="12">AH11</f>
        <v>0</v>
      </c>
      <c r="AJ9" s="178">
        <f t="shared" ref="AJ9" si="13">AI11</f>
        <v>0</v>
      </c>
      <c r="AK9" s="178">
        <f t="shared" ref="AK9" si="14">AJ11</f>
        <v>0</v>
      </c>
      <c r="AL9" s="178">
        <f t="shared" ref="AL9" si="15">AK11</f>
        <v>0</v>
      </c>
      <c r="AM9" s="178">
        <f t="shared" ref="AM9" si="16">AL11</f>
        <v>0</v>
      </c>
      <c r="AN9" s="178">
        <f t="shared" ref="AN9" si="17">AM11</f>
        <v>0</v>
      </c>
      <c r="AO9" s="178">
        <f t="shared" ref="AO9" si="18">AN11</f>
        <v>0</v>
      </c>
      <c r="AP9" s="178">
        <f t="shared" ref="AP9" si="19">AO11</f>
        <v>0</v>
      </c>
      <c r="AQ9" s="178">
        <f t="shared" ref="AQ9" si="20">AP11</f>
        <v>0</v>
      </c>
      <c r="AR9" s="178">
        <f t="shared" ref="AR9" si="21">AQ11</f>
        <v>0</v>
      </c>
      <c r="AS9" s="178">
        <f t="shared" ref="AS9" si="22">AR11</f>
        <v>0</v>
      </c>
      <c r="AT9" s="57"/>
      <c r="AU9" s="72"/>
    </row>
    <row r="10" spans="3:47" s="7" customFormat="1" ht="15.75" x14ac:dyDescent="0.25">
      <c r="C10" s="24" t="s">
        <v>190</v>
      </c>
      <c r="D10" s="40"/>
      <c r="E10" s="40"/>
      <c r="H10" s="40"/>
      <c r="I10" s="40"/>
      <c r="J10" s="19">
        <f>IF(OR(J8=1,J8=2),$E$9/2,0)</f>
        <v>400000</v>
      </c>
      <c r="K10" s="19">
        <f t="shared" ref="K10:V10" si="23">IF(OR(K8=1,K8=2),$E$9/2,0)</f>
        <v>400000</v>
      </c>
      <c r="L10" s="19">
        <f t="shared" si="23"/>
        <v>0</v>
      </c>
      <c r="M10" s="19">
        <f t="shared" si="23"/>
        <v>0</v>
      </c>
      <c r="N10" s="19">
        <f t="shared" si="23"/>
        <v>0</v>
      </c>
      <c r="O10" s="19">
        <f t="shared" si="23"/>
        <v>0</v>
      </c>
      <c r="P10" s="19">
        <f t="shared" si="23"/>
        <v>0</v>
      </c>
      <c r="Q10" s="19">
        <f t="shared" si="23"/>
        <v>0</v>
      </c>
      <c r="R10" s="19">
        <f t="shared" si="23"/>
        <v>0</v>
      </c>
      <c r="S10" s="19">
        <f t="shared" si="23"/>
        <v>0</v>
      </c>
      <c r="T10" s="19">
        <f t="shared" si="23"/>
        <v>0</v>
      </c>
      <c r="U10" s="19">
        <f t="shared" si="23"/>
        <v>0</v>
      </c>
      <c r="V10" s="19">
        <f t="shared" si="23"/>
        <v>0</v>
      </c>
      <c r="W10" s="57"/>
      <c r="X10" s="72"/>
      <c r="Z10" s="24" t="s">
        <v>190</v>
      </c>
      <c r="AA10" s="150"/>
      <c r="AB10" s="150"/>
      <c r="AC10" s="40"/>
      <c r="AD10" s="40"/>
      <c r="AE10" s="40"/>
      <c r="AF10" s="40"/>
      <c r="AG10" s="19">
        <f>IF(OR(AG8=1,AG8=2),$AD$9/2,0)</f>
        <v>0</v>
      </c>
      <c r="AH10" s="19">
        <f t="shared" ref="AH10:AS10" si="24">IF(OR(AH8=1,AH8=2),$AD$9/2,0)</f>
        <v>0</v>
      </c>
      <c r="AI10" s="19">
        <f t="shared" si="24"/>
        <v>0</v>
      </c>
      <c r="AJ10" s="19">
        <f t="shared" si="24"/>
        <v>0</v>
      </c>
      <c r="AK10" s="19">
        <f t="shared" si="24"/>
        <v>0</v>
      </c>
      <c r="AL10" s="19">
        <f t="shared" si="24"/>
        <v>0</v>
      </c>
      <c r="AM10" s="19">
        <f t="shared" si="24"/>
        <v>0</v>
      </c>
      <c r="AN10" s="19">
        <f t="shared" si="24"/>
        <v>0</v>
      </c>
      <c r="AO10" s="19">
        <f t="shared" si="24"/>
        <v>0</v>
      </c>
      <c r="AP10" s="19">
        <f t="shared" si="24"/>
        <v>0</v>
      </c>
      <c r="AQ10" s="19">
        <f t="shared" si="24"/>
        <v>0</v>
      </c>
      <c r="AR10" s="19">
        <f t="shared" si="24"/>
        <v>0</v>
      </c>
      <c r="AS10" s="19">
        <f t="shared" si="24"/>
        <v>0</v>
      </c>
      <c r="AT10" s="57"/>
      <c r="AU10" s="72"/>
    </row>
    <row r="11" spans="3:47" s="7" customFormat="1" ht="15.75" x14ac:dyDescent="0.25">
      <c r="C11" s="24" t="s">
        <v>191</v>
      </c>
      <c r="D11" s="40"/>
      <c r="E11" s="40"/>
      <c r="H11" s="40"/>
      <c r="I11" s="40"/>
      <c r="J11" s="178">
        <f>MAX(SUM(J9,-J10),0)</f>
        <v>400000</v>
      </c>
      <c r="K11" s="178">
        <f t="shared" ref="K11:V11" si="25">MAX(SUM(K9,-K10),0)</f>
        <v>0</v>
      </c>
      <c r="L11" s="178">
        <f t="shared" si="25"/>
        <v>0</v>
      </c>
      <c r="M11" s="178">
        <f t="shared" si="25"/>
        <v>0</v>
      </c>
      <c r="N11" s="178">
        <f t="shared" si="25"/>
        <v>0</v>
      </c>
      <c r="O11" s="178">
        <f t="shared" si="25"/>
        <v>0</v>
      </c>
      <c r="P11" s="178">
        <f t="shared" si="25"/>
        <v>0</v>
      </c>
      <c r="Q11" s="178">
        <f t="shared" si="25"/>
        <v>0</v>
      </c>
      <c r="R11" s="178">
        <f t="shared" si="25"/>
        <v>0</v>
      </c>
      <c r="S11" s="178">
        <f t="shared" si="25"/>
        <v>0</v>
      </c>
      <c r="T11" s="178">
        <f t="shared" si="25"/>
        <v>0</v>
      </c>
      <c r="U11" s="178">
        <f t="shared" si="25"/>
        <v>0</v>
      </c>
      <c r="V11" s="178">
        <f t="shared" si="25"/>
        <v>0</v>
      </c>
      <c r="W11" s="57"/>
      <c r="X11" s="72"/>
      <c r="Z11" s="24" t="s">
        <v>191</v>
      </c>
      <c r="AA11" s="150"/>
      <c r="AB11" s="150"/>
      <c r="AC11" s="40"/>
      <c r="AD11" s="40"/>
      <c r="AE11" s="40"/>
      <c r="AF11" s="40"/>
      <c r="AG11" s="178">
        <f>MAX(SUM(AG9,-AG10),0)</f>
        <v>0</v>
      </c>
      <c r="AH11" s="178">
        <f t="shared" ref="AH11:AS11" si="26">MAX(SUM(AH9,-AH10),0)</f>
        <v>0</v>
      </c>
      <c r="AI11" s="178">
        <f t="shared" si="26"/>
        <v>0</v>
      </c>
      <c r="AJ11" s="178">
        <f t="shared" si="26"/>
        <v>0</v>
      </c>
      <c r="AK11" s="178">
        <f t="shared" si="26"/>
        <v>0</v>
      </c>
      <c r="AL11" s="178">
        <f t="shared" si="26"/>
        <v>0</v>
      </c>
      <c r="AM11" s="178">
        <f t="shared" si="26"/>
        <v>0</v>
      </c>
      <c r="AN11" s="178">
        <f t="shared" si="26"/>
        <v>0</v>
      </c>
      <c r="AO11" s="178">
        <f t="shared" si="26"/>
        <v>0</v>
      </c>
      <c r="AP11" s="178">
        <f t="shared" si="26"/>
        <v>0</v>
      </c>
      <c r="AQ11" s="178">
        <f t="shared" si="26"/>
        <v>0</v>
      </c>
      <c r="AR11" s="178">
        <f t="shared" si="26"/>
        <v>0</v>
      </c>
      <c r="AS11" s="178">
        <f t="shared" si="26"/>
        <v>0</v>
      </c>
      <c r="AT11" s="57"/>
      <c r="AU11" s="72"/>
    </row>
    <row r="12" spans="3:47" s="7" customFormat="1" ht="15.75" x14ac:dyDescent="0.25">
      <c r="C12" s="24"/>
      <c r="D12" s="40"/>
      <c r="E12" s="40"/>
      <c r="H12" s="40"/>
      <c r="I12" s="40"/>
      <c r="J12" s="19"/>
      <c r="K12" s="19"/>
      <c r="L12" s="19"/>
      <c r="M12" s="19"/>
      <c r="N12" s="19"/>
      <c r="O12" s="19"/>
      <c r="P12" s="19"/>
      <c r="Q12" s="19"/>
      <c r="R12" s="19"/>
      <c r="S12" s="19"/>
      <c r="T12" s="19"/>
      <c r="U12" s="19"/>
      <c r="V12" s="19"/>
      <c r="W12" s="19"/>
      <c r="X12" s="21"/>
      <c r="Z12" s="24"/>
      <c r="AA12" s="150"/>
      <c r="AB12" s="150"/>
      <c r="AC12" s="40"/>
      <c r="AD12" s="40"/>
      <c r="AE12" s="40"/>
      <c r="AF12" s="40"/>
      <c r="AG12" s="19"/>
      <c r="AH12" s="19"/>
      <c r="AI12" s="19"/>
      <c r="AJ12" s="19"/>
      <c r="AK12" s="19"/>
      <c r="AL12" s="19"/>
      <c r="AM12" s="19"/>
      <c r="AN12" s="19"/>
      <c r="AO12" s="19"/>
      <c r="AP12" s="19"/>
      <c r="AQ12" s="19"/>
      <c r="AR12" s="19"/>
      <c r="AS12" s="19"/>
      <c r="AT12" s="19"/>
      <c r="AU12" s="21"/>
    </row>
    <row r="13" spans="3:47" s="7" customFormat="1" ht="15.75" x14ac:dyDescent="0.25">
      <c r="C13" s="168" t="s">
        <v>169</v>
      </c>
      <c r="D13" s="40"/>
      <c r="E13" s="40"/>
      <c r="H13" s="40"/>
      <c r="I13" s="40"/>
      <c r="J13" s="19"/>
      <c r="K13" s="19"/>
      <c r="L13" s="19"/>
      <c r="M13" s="19"/>
      <c r="N13" s="19"/>
      <c r="O13" s="19"/>
      <c r="P13" s="19"/>
      <c r="Q13" s="19"/>
      <c r="R13" s="19"/>
      <c r="S13" s="19"/>
      <c r="T13" s="19"/>
      <c r="U13" s="19"/>
      <c r="V13" s="19"/>
      <c r="W13" s="19"/>
      <c r="X13" s="21"/>
      <c r="Z13" s="168" t="s">
        <v>169</v>
      </c>
      <c r="AA13" s="150"/>
      <c r="AB13" s="150"/>
      <c r="AC13" s="40"/>
      <c r="AD13" s="40"/>
      <c r="AE13" s="40"/>
      <c r="AF13" s="40"/>
      <c r="AG13" s="19"/>
      <c r="AH13" s="19"/>
      <c r="AI13" s="19"/>
      <c r="AJ13" s="19"/>
      <c r="AK13" s="19"/>
      <c r="AL13" s="19"/>
      <c r="AM13" s="19"/>
      <c r="AN13" s="19"/>
      <c r="AO13" s="19"/>
      <c r="AP13" s="19"/>
      <c r="AQ13" s="19"/>
      <c r="AR13" s="19"/>
      <c r="AS13" s="19"/>
      <c r="AT13" s="19"/>
      <c r="AU13" s="21"/>
    </row>
    <row r="14" spans="3:47" s="7" customFormat="1" ht="16.5" thickBot="1" x14ac:dyDescent="0.3">
      <c r="C14" s="24" t="s">
        <v>168</v>
      </c>
      <c r="D14" s="40"/>
      <c r="E14" s="40"/>
      <c r="H14" s="40"/>
      <c r="I14" s="40"/>
      <c r="J14" s="19">
        <f>הכנסות!J64</f>
        <v>1750000</v>
      </c>
      <c r="K14" s="19">
        <f>הכנסות!K64</f>
        <v>1750000</v>
      </c>
      <c r="L14" s="19">
        <f>הכנסות!L64</f>
        <v>1750000</v>
      </c>
      <c r="M14" s="19">
        <f>הכנסות!M64</f>
        <v>1750000</v>
      </c>
      <c r="N14" s="19">
        <f>הכנסות!N64</f>
        <v>1750000</v>
      </c>
      <c r="O14" s="19">
        <f>הכנסות!O64</f>
        <v>1750000</v>
      </c>
      <c r="P14" s="19">
        <f>הכנסות!P64</f>
        <v>2100000</v>
      </c>
      <c r="Q14" s="19">
        <f>הכנסות!Q64</f>
        <v>2450000</v>
      </c>
      <c r="R14" s="19">
        <f>הכנסות!R64</f>
        <v>1400000</v>
      </c>
      <c r="S14" s="19">
        <f>הכנסות!S64</f>
        <v>2450000</v>
      </c>
      <c r="T14" s="19">
        <f>הכנסות!T64</f>
        <v>2800000</v>
      </c>
      <c r="U14" s="19">
        <f>הכנסות!U64</f>
        <v>3150000</v>
      </c>
      <c r="V14" s="19">
        <f>הכנסות!V64</f>
        <v>3500000</v>
      </c>
      <c r="W14" s="19"/>
      <c r="X14" s="21"/>
      <c r="Z14" s="24" t="s">
        <v>168</v>
      </c>
      <c r="AA14" s="150"/>
      <c r="AB14" s="150"/>
      <c r="AC14" s="40"/>
      <c r="AD14" s="40"/>
      <c r="AE14" s="40"/>
      <c r="AF14" s="40"/>
      <c r="AG14" s="19">
        <f>הכנסות!J69</f>
        <v>1750000</v>
      </c>
      <c r="AH14" s="19">
        <f>הכנסות!K69</f>
        <v>1750000</v>
      </c>
      <c r="AI14" s="19">
        <f>הכנסות!L69</f>
        <v>1750000</v>
      </c>
      <c r="AJ14" s="19">
        <f>הכנסות!M69</f>
        <v>1750000</v>
      </c>
      <c r="AK14" s="19">
        <f>הכנסות!N69</f>
        <v>1750000</v>
      </c>
      <c r="AL14" s="19">
        <f>הכנסות!O69</f>
        <v>1750000</v>
      </c>
      <c r="AM14" s="19">
        <f>הכנסות!P69</f>
        <v>2100000</v>
      </c>
      <c r="AN14" s="19">
        <f>הכנסות!Q69</f>
        <v>2450000</v>
      </c>
      <c r="AO14" s="19">
        <f>הכנסות!R69</f>
        <v>1400000</v>
      </c>
      <c r="AP14" s="19">
        <f>הכנסות!S69</f>
        <v>2450000</v>
      </c>
      <c r="AQ14" s="19">
        <f>הכנסות!T69</f>
        <v>2800000</v>
      </c>
      <c r="AR14" s="19">
        <f>הכנסות!U69</f>
        <v>3150000</v>
      </c>
      <c r="AS14" s="19">
        <f>הכנסות!V69</f>
        <v>3500000</v>
      </c>
      <c r="AT14" s="19"/>
      <c r="AU14" s="21"/>
    </row>
    <row r="15" spans="3:47" s="7" customFormat="1" ht="16.5" thickBot="1" x14ac:dyDescent="0.3">
      <c r="C15" s="24" t="s">
        <v>170</v>
      </c>
      <c r="D15" s="169">
        <f>הנחות!J39</f>
        <v>0.7</v>
      </c>
      <c r="E15" s="169">
        <f>1-D15</f>
        <v>0.30000000000000004</v>
      </c>
      <c r="H15" s="1"/>
      <c r="I15" s="40"/>
      <c r="J15" s="19">
        <f t="shared" ref="J15:V15" si="27">IFERROR(J14*$E$15,0)</f>
        <v>525000.00000000012</v>
      </c>
      <c r="K15" s="19">
        <f t="shared" si="27"/>
        <v>525000.00000000012</v>
      </c>
      <c r="L15" s="19">
        <f t="shared" si="27"/>
        <v>525000.00000000012</v>
      </c>
      <c r="M15" s="19">
        <f t="shared" si="27"/>
        <v>525000.00000000012</v>
      </c>
      <c r="N15" s="19">
        <f t="shared" si="27"/>
        <v>525000.00000000012</v>
      </c>
      <c r="O15" s="19">
        <f t="shared" si="27"/>
        <v>525000.00000000012</v>
      </c>
      <c r="P15" s="19">
        <f t="shared" si="27"/>
        <v>630000.00000000012</v>
      </c>
      <c r="Q15" s="19">
        <f t="shared" si="27"/>
        <v>735000.00000000012</v>
      </c>
      <c r="R15" s="19">
        <f t="shared" si="27"/>
        <v>420000.00000000006</v>
      </c>
      <c r="S15" s="19">
        <f t="shared" si="27"/>
        <v>735000.00000000012</v>
      </c>
      <c r="T15" s="19">
        <f t="shared" si="27"/>
        <v>840000.00000000012</v>
      </c>
      <c r="U15" s="19">
        <f t="shared" si="27"/>
        <v>945000.00000000012</v>
      </c>
      <c r="V15" s="19">
        <f t="shared" si="27"/>
        <v>1050000.0000000002</v>
      </c>
      <c r="W15" s="19"/>
      <c r="X15" s="21"/>
      <c r="Z15" s="24" t="s">
        <v>170</v>
      </c>
      <c r="AA15" s="150"/>
      <c r="AB15" s="150"/>
      <c r="AC15" s="169">
        <f>הנחות!J39</f>
        <v>0.7</v>
      </c>
      <c r="AD15" s="169">
        <f>1-AC15</f>
        <v>0.30000000000000004</v>
      </c>
      <c r="AE15" s="1"/>
      <c r="AF15" s="40"/>
      <c r="AG15" s="19">
        <f t="shared" ref="AG15:AS15" si="28">IFERROR(AG14*$E$15,0)</f>
        <v>525000.00000000012</v>
      </c>
      <c r="AH15" s="19">
        <f t="shared" si="28"/>
        <v>525000.00000000012</v>
      </c>
      <c r="AI15" s="19">
        <f t="shared" si="28"/>
        <v>525000.00000000012</v>
      </c>
      <c r="AJ15" s="19">
        <f t="shared" si="28"/>
        <v>525000.00000000012</v>
      </c>
      <c r="AK15" s="19">
        <f t="shared" si="28"/>
        <v>525000.00000000012</v>
      </c>
      <c r="AL15" s="19">
        <f t="shared" si="28"/>
        <v>525000.00000000012</v>
      </c>
      <c r="AM15" s="19">
        <f t="shared" si="28"/>
        <v>630000.00000000012</v>
      </c>
      <c r="AN15" s="19">
        <f t="shared" si="28"/>
        <v>735000.00000000012</v>
      </c>
      <c r="AO15" s="19">
        <f t="shared" si="28"/>
        <v>420000.00000000006</v>
      </c>
      <c r="AP15" s="19">
        <f t="shared" si="28"/>
        <v>735000.00000000012</v>
      </c>
      <c r="AQ15" s="19">
        <f t="shared" si="28"/>
        <v>840000.00000000012</v>
      </c>
      <c r="AR15" s="19">
        <f t="shared" si="28"/>
        <v>945000.00000000012</v>
      </c>
      <c r="AS15" s="19">
        <f t="shared" si="28"/>
        <v>1050000.0000000002</v>
      </c>
      <c r="AT15" s="19"/>
      <c r="AU15" s="21"/>
    </row>
    <row r="16" spans="3:47" s="7" customFormat="1" ht="15.75" x14ac:dyDescent="0.25">
      <c r="C16" s="24" t="s">
        <v>171</v>
      </c>
      <c r="D16" s="40"/>
      <c r="E16" s="40"/>
      <c r="H16" s="40"/>
      <c r="I16" s="40"/>
      <c r="J16" s="19">
        <f>IFERROR(J14-J15,0)</f>
        <v>1225000</v>
      </c>
      <c r="K16" s="19">
        <f t="shared" ref="K16:V16" si="29">IFERROR(K14-K15,0)</f>
        <v>1225000</v>
      </c>
      <c r="L16" s="19">
        <f t="shared" si="29"/>
        <v>1225000</v>
      </c>
      <c r="M16" s="19">
        <f t="shared" si="29"/>
        <v>1225000</v>
      </c>
      <c r="N16" s="19">
        <f t="shared" si="29"/>
        <v>1225000</v>
      </c>
      <c r="O16" s="19">
        <f t="shared" si="29"/>
        <v>1225000</v>
      </c>
      <c r="P16" s="19">
        <f t="shared" si="29"/>
        <v>1470000</v>
      </c>
      <c r="Q16" s="19">
        <f t="shared" si="29"/>
        <v>1715000</v>
      </c>
      <c r="R16" s="19">
        <f t="shared" si="29"/>
        <v>980000</v>
      </c>
      <c r="S16" s="19">
        <f t="shared" si="29"/>
        <v>1715000</v>
      </c>
      <c r="T16" s="19">
        <f t="shared" si="29"/>
        <v>1960000</v>
      </c>
      <c r="U16" s="19">
        <f t="shared" si="29"/>
        <v>2205000</v>
      </c>
      <c r="V16" s="19">
        <f t="shared" si="29"/>
        <v>2450000</v>
      </c>
      <c r="W16" s="19"/>
      <c r="X16" s="21"/>
      <c r="Z16" s="24" t="s">
        <v>171</v>
      </c>
      <c r="AA16" s="150"/>
      <c r="AB16" s="150"/>
      <c r="AC16" s="40"/>
      <c r="AD16" s="40"/>
      <c r="AE16" s="40"/>
      <c r="AF16" s="40"/>
      <c r="AG16" s="19">
        <f>IFERROR(AG14-AG15,0)</f>
        <v>1225000</v>
      </c>
      <c r="AH16" s="19">
        <f t="shared" ref="AH16:AS16" si="30">IFERROR(AH14-AH15,0)</f>
        <v>1225000</v>
      </c>
      <c r="AI16" s="19">
        <f t="shared" si="30"/>
        <v>1225000</v>
      </c>
      <c r="AJ16" s="19">
        <f t="shared" si="30"/>
        <v>1225000</v>
      </c>
      <c r="AK16" s="19">
        <f t="shared" si="30"/>
        <v>1225000</v>
      </c>
      <c r="AL16" s="19">
        <f t="shared" si="30"/>
        <v>1225000</v>
      </c>
      <c r="AM16" s="19">
        <f t="shared" si="30"/>
        <v>1470000</v>
      </c>
      <c r="AN16" s="19">
        <f t="shared" si="30"/>
        <v>1715000</v>
      </c>
      <c r="AO16" s="19">
        <f t="shared" si="30"/>
        <v>980000</v>
      </c>
      <c r="AP16" s="19">
        <f t="shared" si="30"/>
        <v>1715000</v>
      </c>
      <c r="AQ16" s="19">
        <f t="shared" si="30"/>
        <v>1960000</v>
      </c>
      <c r="AR16" s="19">
        <f t="shared" si="30"/>
        <v>2205000</v>
      </c>
      <c r="AS16" s="19">
        <f t="shared" si="30"/>
        <v>2450000</v>
      </c>
      <c r="AT16" s="19"/>
      <c r="AU16" s="21"/>
    </row>
    <row r="17" spans="3:47" s="7" customFormat="1" ht="16.5" thickBot="1" x14ac:dyDescent="0.3">
      <c r="C17" s="23" t="s">
        <v>173</v>
      </c>
      <c r="D17" s="40"/>
      <c r="E17" s="40"/>
      <c r="H17" s="40"/>
      <c r="I17" s="40"/>
      <c r="J17" s="19"/>
      <c r="K17" s="19"/>
      <c r="L17" s="19"/>
      <c r="M17" s="19"/>
      <c r="N17" s="19"/>
      <c r="O17" s="19"/>
      <c r="P17" s="19"/>
      <c r="Q17" s="19"/>
      <c r="R17" s="19"/>
      <c r="S17" s="19"/>
      <c r="T17" s="19"/>
      <c r="U17" s="19"/>
      <c r="V17" s="19"/>
      <c r="W17" s="19"/>
      <c r="X17" s="21"/>
      <c r="Z17" s="23" t="s">
        <v>173</v>
      </c>
      <c r="AA17" s="150"/>
      <c r="AB17" s="150"/>
      <c r="AC17" s="40"/>
      <c r="AD17" s="40"/>
      <c r="AE17" s="40"/>
      <c r="AF17" s="40"/>
      <c r="AG17" s="19"/>
      <c r="AH17" s="19"/>
      <c r="AI17" s="19"/>
      <c r="AJ17" s="19"/>
      <c r="AK17" s="19"/>
      <c r="AL17" s="19"/>
      <c r="AM17" s="19"/>
      <c r="AN17" s="19"/>
      <c r="AO17" s="19"/>
      <c r="AP17" s="19"/>
      <c r="AQ17" s="19"/>
      <c r="AR17" s="19"/>
      <c r="AS17" s="19"/>
      <c r="AT17" s="19"/>
      <c r="AU17" s="21"/>
    </row>
    <row r="18" spans="3:47" s="7" customFormat="1" ht="16.5" thickBot="1" x14ac:dyDescent="0.3">
      <c r="C18" s="24" t="s">
        <v>172</v>
      </c>
      <c r="D18" s="40"/>
      <c r="E18" s="170">
        <f>הנחות!J41+E19</f>
        <v>27</v>
      </c>
      <c r="H18" s="40"/>
      <c r="I18" s="40"/>
      <c r="J18" s="173">
        <f t="shared" ref="J18:O18" si="31">IF($E$18=$E$19,J2,DATE(J4,J5+1,J6)+$E$18)</f>
        <v>44040</v>
      </c>
      <c r="K18" s="173">
        <f t="shared" si="31"/>
        <v>44071</v>
      </c>
      <c r="L18" s="173">
        <f t="shared" si="31"/>
        <v>44102</v>
      </c>
      <c r="M18" s="173">
        <f t="shared" si="31"/>
        <v>44132</v>
      </c>
      <c r="N18" s="173">
        <f t="shared" si="31"/>
        <v>44163</v>
      </c>
      <c r="O18" s="173">
        <f t="shared" si="31"/>
        <v>44193</v>
      </c>
      <c r="P18" s="173">
        <f t="shared" ref="P18:V18" si="32">IF($E$18=$E$19,P2,DATE(P4,P5+1,P6)+$E$18)</f>
        <v>44224</v>
      </c>
      <c r="Q18" s="173">
        <f t="shared" si="32"/>
        <v>44255</v>
      </c>
      <c r="R18" s="173">
        <f t="shared" si="32"/>
        <v>44283</v>
      </c>
      <c r="S18" s="173">
        <f t="shared" si="32"/>
        <v>44314</v>
      </c>
      <c r="T18" s="173">
        <f t="shared" si="32"/>
        <v>44344</v>
      </c>
      <c r="U18" s="173">
        <f t="shared" si="32"/>
        <v>44375</v>
      </c>
      <c r="V18" s="173">
        <f t="shared" si="32"/>
        <v>44405</v>
      </c>
      <c r="W18" s="173"/>
      <c r="X18" s="21"/>
      <c r="Z18" s="24" t="s">
        <v>172</v>
      </c>
      <c r="AA18" s="150"/>
      <c r="AB18" s="150"/>
      <c r="AC18" s="40"/>
      <c r="AD18" s="170">
        <f>הנחות!J41+E19</f>
        <v>27</v>
      </c>
      <c r="AE18" s="40"/>
      <c r="AF18" s="40"/>
      <c r="AG18" s="173">
        <f>IF($AD$18=$AD$19,AG2,DATE(AG4,AG5+1,AG6)+$AD$18)</f>
        <v>44040</v>
      </c>
      <c r="AH18" s="173">
        <f t="shared" ref="AH18:AS18" si="33">IF($AD$18=$AD$19,AH2,DATE(AH4,AH5+1,AH6)+$AD$18)</f>
        <v>44071</v>
      </c>
      <c r="AI18" s="173">
        <f t="shared" si="33"/>
        <v>44102</v>
      </c>
      <c r="AJ18" s="173">
        <f t="shared" si="33"/>
        <v>44132</v>
      </c>
      <c r="AK18" s="173">
        <f t="shared" si="33"/>
        <v>44163</v>
      </c>
      <c r="AL18" s="173">
        <f t="shared" si="33"/>
        <v>44193</v>
      </c>
      <c r="AM18" s="173">
        <f t="shared" si="33"/>
        <v>44224</v>
      </c>
      <c r="AN18" s="173">
        <f t="shared" si="33"/>
        <v>44255</v>
      </c>
      <c r="AO18" s="173">
        <f t="shared" si="33"/>
        <v>44283</v>
      </c>
      <c r="AP18" s="173">
        <f t="shared" si="33"/>
        <v>44314</v>
      </c>
      <c r="AQ18" s="173">
        <f t="shared" si="33"/>
        <v>44344</v>
      </c>
      <c r="AR18" s="173">
        <f t="shared" si="33"/>
        <v>44375</v>
      </c>
      <c r="AS18" s="173">
        <f t="shared" si="33"/>
        <v>44405</v>
      </c>
      <c r="AT18" s="173"/>
      <c r="AU18" s="21"/>
    </row>
    <row r="19" spans="3:47" s="7" customFormat="1" ht="16.5" thickBot="1" x14ac:dyDescent="0.3">
      <c r="C19" s="174">
        <f t="array" ref="C19:C31">TRANSPOSE(J2:V2)</f>
        <v>43983</v>
      </c>
      <c r="D19" s="40"/>
      <c r="E19" s="170">
        <v>-3</v>
      </c>
      <c r="H19" s="40"/>
      <c r="I19" s="40"/>
      <c r="J19" s="19">
        <f t="shared" ref="J19:V19" si="34">IF(AND(J2&lt;=$J$18,K2&gt;$J$18),1,0)*$J$16</f>
        <v>0</v>
      </c>
      <c r="K19" s="19">
        <f t="shared" si="34"/>
        <v>1225000</v>
      </c>
      <c r="L19" s="19">
        <f t="shared" si="34"/>
        <v>0</v>
      </c>
      <c r="M19" s="19">
        <f t="shared" si="34"/>
        <v>0</v>
      </c>
      <c r="N19" s="19">
        <f t="shared" si="34"/>
        <v>0</v>
      </c>
      <c r="O19" s="19">
        <f t="shared" si="34"/>
        <v>0</v>
      </c>
      <c r="P19" s="19">
        <f t="shared" si="34"/>
        <v>0</v>
      </c>
      <c r="Q19" s="19">
        <f t="shared" si="34"/>
        <v>0</v>
      </c>
      <c r="R19" s="19">
        <f t="shared" si="34"/>
        <v>0</v>
      </c>
      <c r="S19" s="19">
        <f t="shared" si="34"/>
        <v>0</v>
      </c>
      <c r="T19" s="19">
        <f t="shared" si="34"/>
        <v>0</v>
      </c>
      <c r="U19" s="19">
        <f t="shared" si="34"/>
        <v>0</v>
      </c>
      <c r="V19" s="19">
        <f t="shared" si="34"/>
        <v>0</v>
      </c>
      <c r="W19" s="19"/>
      <c r="X19" s="21"/>
      <c r="Z19" s="174">
        <f t="array" ref="Z19:Z31">TRANSPOSE(AG2:AS2)</f>
        <v>43983</v>
      </c>
      <c r="AA19" s="150"/>
      <c r="AB19" s="150"/>
      <c r="AC19" s="40"/>
      <c r="AD19" s="170">
        <v>-3</v>
      </c>
      <c r="AE19" s="40"/>
      <c r="AF19" s="40"/>
      <c r="AG19" s="19">
        <f>IF(AND(AG2&lt;=$AG$18,AH2&gt;$AG$18),1,0)*$AG$16</f>
        <v>0</v>
      </c>
      <c r="AH19" s="19">
        <f t="shared" ref="AH19:AS19" si="35">IF(AND(AH2&lt;=$AG$18,AI2&gt;$AG$18),1,0)*$AG$16</f>
        <v>1225000</v>
      </c>
      <c r="AI19" s="19">
        <f t="shared" si="35"/>
        <v>0</v>
      </c>
      <c r="AJ19" s="19">
        <f t="shared" si="35"/>
        <v>0</v>
      </c>
      <c r="AK19" s="19">
        <f t="shared" si="35"/>
        <v>0</v>
      </c>
      <c r="AL19" s="19">
        <f t="shared" si="35"/>
        <v>0</v>
      </c>
      <c r="AM19" s="19">
        <f t="shared" si="35"/>
        <v>0</v>
      </c>
      <c r="AN19" s="19">
        <f t="shared" si="35"/>
        <v>0</v>
      </c>
      <c r="AO19" s="19">
        <f t="shared" si="35"/>
        <v>0</v>
      </c>
      <c r="AP19" s="19">
        <f t="shared" si="35"/>
        <v>0</v>
      </c>
      <c r="AQ19" s="19">
        <f t="shared" si="35"/>
        <v>0</v>
      </c>
      <c r="AR19" s="19">
        <f t="shared" si="35"/>
        <v>0</v>
      </c>
      <c r="AS19" s="19">
        <f t="shared" si="35"/>
        <v>0</v>
      </c>
      <c r="AT19" s="19"/>
      <c r="AU19" s="21"/>
    </row>
    <row r="20" spans="3:47" s="7" customFormat="1" ht="15.75" x14ac:dyDescent="0.25">
      <c r="C20" s="174">
        <v>44013</v>
      </c>
      <c r="D20" s="150"/>
      <c r="E20" s="150"/>
      <c r="F20" s="40"/>
      <c r="G20" s="40"/>
      <c r="H20" s="40"/>
      <c r="I20" s="40"/>
      <c r="J20" s="19">
        <f t="shared" ref="J20:V20" si="36">IF(AND(J2&lt;=$K$18,K2&gt;$K$18),1,0)*$K$16</f>
        <v>0</v>
      </c>
      <c r="K20" s="19">
        <f t="shared" si="36"/>
        <v>0</v>
      </c>
      <c r="L20" s="19">
        <f t="shared" si="36"/>
        <v>1225000</v>
      </c>
      <c r="M20" s="19">
        <f t="shared" si="36"/>
        <v>0</v>
      </c>
      <c r="N20" s="19">
        <f t="shared" si="36"/>
        <v>0</v>
      </c>
      <c r="O20" s="19">
        <f t="shared" si="36"/>
        <v>0</v>
      </c>
      <c r="P20" s="19">
        <f t="shared" si="36"/>
        <v>0</v>
      </c>
      <c r="Q20" s="19">
        <f t="shared" si="36"/>
        <v>0</v>
      </c>
      <c r="R20" s="19">
        <f t="shared" si="36"/>
        <v>0</v>
      </c>
      <c r="S20" s="19">
        <f t="shared" si="36"/>
        <v>0</v>
      </c>
      <c r="T20" s="19">
        <f t="shared" si="36"/>
        <v>0</v>
      </c>
      <c r="U20" s="19">
        <f t="shared" si="36"/>
        <v>0</v>
      </c>
      <c r="V20" s="19">
        <f t="shared" si="36"/>
        <v>0</v>
      </c>
      <c r="W20" s="19"/>
      <c r="X20" s="21"/>
      <c r="Z20" s="174">
        <v>44013</v>
      </c>
      <c r="AA20" s="150"/>
      <c r="AB20" s="150"/>
      <c r="AC20" s="40"/>
      <c r="AD20" s="40"/>
      <c r="AE20" s="40"/>
      <c r="AF20" s="40"/>
      <c r="AG20" s="19">
        <f>IF(AND(AG2&lt;=$AH$18,AH2&gt;$AH$18),1,0)*$AH$16</f>
        <v>0</v>
      </c>
      <c r="AH20" s="19">
        <f t="shared" ref="AH20:AS20" si="37">IF(AND(AH2&lt;=$AH$18,AI2&gt;$AH$18),1,0)*$AH$16</f>
        <v>0</v>
      </c>
      <c r="AI20" s="19">
        <f t="shared" si="37"/>
        <v>1225000</v>
      </c>
      <c r="AJ20" s="19">
        <f t="shared" si="37"/>
        <v>0</v>
      </c>
      <c r="AK20" s="19">
        <f t="shared" si="37"/>
        <v>0</v>
      </c>
      <c r="AL20" s="19">
        <f t="shared" si="37"/>
        <v>0</v>
      </c>
      <c r="AM20" s="19">
        <f t="shared" si="37"/>
        <v>0</v>
      </c>
      <c r="AN20" s="19">
        <f t="shared" si="37"/>
        <v>0</v>
      </c>
      <c r="AO20" s="19">
        <f t="shared" si="37"/>
        <v>0</v>
      </c>
      <c r="AP20" s="19">
        <f t="shared" si="37"/>
        <v>0</v>
      </c>
      <c r="AQ20" s="19">
        <f t="shared" si="37"/>
        <v>0</v>
      </c>
      <c r="AR20" s="19">
        <f t="shared" si="37"/>
        <v>0</v>
      </c>
      <c r="AS20" s="19">
        <f t="shared" si="37"/>
        <v>0</v>
      </c>
      <c r="AT20" s="19"/>
      <c r="AU20" s="21"/>
    </row>
    <row r="21" spans="3:47" s="7" customFormat="1" ht="15.75" x14ac:dyDescent="0.25">
      <c r="C21" s="174">
        <v>44044</v>
      </c>
      <c r="D21" s="150"/>
      <c r="E21" s="150"/>
      <c r="F21" s="40"/>
      <c r="G21" s="40"/>
      <c r="H21" s="40"/>
      <c r="I21" s="40"/>
      <c r="J21" s="19">
        <f t="shared" ref="J21:V21" si="38">IF(AND(J2&lt;=$L$18,K2&gt;$L$18),1,0)*$L$16</f>
        <v>0</v>
      </c>
      <c r="K21" s="19">
        <f t="shared" si="38"/>
        <v>0</v>
      </c>
      <c r="L21" s="19">
        <f t="shared" si="38"/>
        <v>0</v>
      </c>
      <c r="M21" s="19">
        <f t="shared" si="38"/>
        <v>1225000</v>
      </c>
      <c r="N21" s="19">
        <f t="shared" si="38"/>
        <v>0</v>
      </c>
      <c r="O21" s="19">
        <f t="shared" si="38"/>
        <v>0</v>
      </c>
      <c r="P21" s="19">
        <f t="shared" si="38"/>
        <v>0</v>
      </c>
      <c r="Q21" s="19">
        <f t="shared" si="38"/>
        <v>0</v>
      </c>
      <c r="R21" s="19">
        <f t="shared" si="38"/>
        <v>0</v>
      </c>
      <c r="S21" s="19">
        <f t="shared" si="38"/>
        <v>0</v>
      </c>
      <c r="T21" s="19">
        <f t="shared" si="38"/>
        <v>0</v>
      </c>
      <c r="U21" s="19">
        <f t="shared" si="38"/>
        <v>0</v>
      </c>
      <c r="V21" s="19">
        <f t="shared" si="38"/>
        <v>0</v>
      </c>
      <c r="W21" s="19"/>
      <c r="X21" s="21"/>
      <c r="Z21" s="174">
        <v>44044</v>
      </c>
      <c r="AA21" s="150"/>
      <c r="AB21" s="150"/>
      <c r="AC21" s="40"/>
      <c r="AD21" s="40"/>
      <c r="AE21" s="40"/>
      <c r="AF21" s="40"/>
      <c r="AG21" s="19">
        <f>IF(AND(AG2&lt;=$AI$18,AH2&gt;$AI$18),1,0)*$AI$16</f>
        <v>0</v>
      </c>
      <c r="AH21" s="19">
        <f t="shared" ref="AH21:AS21" si="39">IF(AND(AH2&lt;=$AI$18,AI2&gt;$AI$18),1,0)*$AI$16</f>
        <v>0</v>
      </c>
      <c r="AI21" s="19">
        <f t="shared" si="39"/>
        <v>0</v>
      </c>
      <c r="AJ21" s="19">
        <f t="shared" si="39"/>
        <v>1225000</v>
      </c>
      <c r="AK21" s="19">
        <f t="shared" si="39"/>
        <v>0</v>
      </c>
      <c r="AL21" s="19">
        <f t="shared" si="39"/>
        <v>0</v>
      </c>
      <c r="AM21" s="19">
        <f t="shared" si="39"/>
        <v>0</v>
      </c>
      <c r="AN21" s="19">
        <f t="shared" si="39"/>
        <v>0</v>
      </c>
      <c r="AO21" s="19">
        <f t="shared" si="39"/>
        <v>0</v>
      </c>
      <c r="AP21" s="19">
        <f t="shared" si="39"/>
        <v>0</v>
      </c>
      <c r="AQ21" s="19">
        <f t="shared" si="39"/>
        <v>0</v>
      </c>
      <c r="AR21" s="19">
        <f t="shared" si="39"/>
        <v>0</v>
      </c>
      <c r="AS21" s="19">
        <f t="shared" si="39"/>
        <v>0</v>
      </c>
      <c r="AT21" s="19"/>
      <c r="AU21" s="21"/>
    </row>
    <row r="22" spans="3:47" s="7" customFormat="1" ht="15.75" x14ac:dyDescent="0.25">
      <c r="C22" s="174">
        <v>44075</v>
      </c>
      <c r="D22" s="150"/>
      <c r="E22" s="150"/>
      <c r="F22" s="40"/>
      <c r="G22" s="40"/>
      <c r="H22" s="40"/>
      <c r="I22" s="40"/>
      <c r="J22" s="19">
        <f t="shared" ref="J22:V22" si="40">IF(AND(J2&lt;=$M$18,K2&gt;$M$18),1,0)*$M$16</f>
        <v>0</v>
      </c>
      <c r="K22" s="19">
        <f t="shared" si="40"/>
        <v>0</v>
      </c>
      <c r="L22" s="19">
        <f t="shared" si="40"/>
        <v>0</v>
      </c>
      <c r="M22" s="19">
        <f t="shared" si="40"/>
        <v>0</v>
      </c>
      <c r="N22" s="19">
        <f t="shared" si="40"/>
        <v>1225000</v>
      </c>
      <c r="O22" s="19">
        <f t="shared" si="40"/>
        <v>0</v>
      </c>
      <c r="P22" s="19">
        <f t="shared" si="40"/>
        <v>0</v>
      </c>
      <c r="Q22" s="19">
        <f t="shared" si="40"/>
        <v>0</v>
      </c>
      <c r="R22" s="19">
        <f t="shared" si="40"/>
        <v>0</v>
      </c>
      <c r="S22" s="19">
        <f t="shared" si="40"/>
        <v>0</v>
      </c>
      <c r="T22" s="19">
        <f t="shared" si="40"/>
        <v>0</v>
      </c>
      <c r="U22" s="19">
        <f t="shared" si="40"/>
        <v>0</v>
      </c>
      <c r="V22" s="19">
        <f t="shared" si="40"/>
        <v>0</v>
      </c>
      <c r="W22" s="19"/>
      <c r="X22" s="21"/>
      <c r="Z22" s="174">
        <v>44075</v>
      </c>
      <c r="AA22" s="150"/>
      <c r="AB22" s="150"/>
      <c r="AC22" s="40"/>
      <c r="AD22" s="40"/>
      <c r="AE22" s="40"/>
      <c r="AF22" s="40"/>
      <c r="AG22" s="19">
        <f>IF(AND(AG2&lt;=$AJ$18,AH2&gt;$AJ$18),1,0)*$AJ$16</f>
        <v>0</v>
      </c>
      <c r="AH22" s="19">
        <f t="shared" ref="AH22:AS22" si="41">IF(AND(AH2&lt;=$AJ$18,AI2&gt;$AJ$18),1,0)*$AJ$16</f>
        <v>0</v>
      </c>
      <c r="AI22" s="19">
        <f t="shared" si="41"/>
        <v>0</v>
      </c>
      <c r="AJ22" s="19">
        <f t="shared" si="41"/>
        <v>0</v>
      </c>
      <c r="AK22" s="19">
        <f t="shared" si="41"/>
        <v>1225000</v>
      </c>
      <c r="AL22" s="19">
        <f t="shared" si="41"/>
        <v>0</v>
      </c>
      <c r="AM22" s="19">
        <f t="shared" si="41"/>
        <v>0</v>
      </c>
      <c r="AN22" s="19">
        <f t="shared" si="41"/>
        <v>0</v>
      </c>
      <c r="AO22" s="19">
        <f t="shared" si="41"/>
        <v>0</v>
      </c>
      <c r="AP22" s="19">
        <f t="shared" si="41"/>
        <v>0</v>
      </c>
      <c r="AQ22" s="19">
        <f t="shared" si="41"/>
        <v>0</v>
      </c>
      <c r="AR22" s="19">
        <f t="shared" si="41"/>
        <v>0</v>
      </c>
      <c r="AS22" s="19">
        <f t="shared" si="41"/>
        <v>0</v>
      </c>
      <c r="AT22" s="19"/>
      <c r="AU22" s="21"/>
    </row>
    <row r="23" spans="3:47" s="7" customFormat="1" ht="15.75" x14ac:dyDescent="0.25">
      <c r="C23" s="174">
        <v>44105</v>
      </c>
      <c r="D23" s="150"/>
      <c r="E23" s="150"/>
      <c r="F23" s="40"/>
      <c r="G23" s="40"/>
      <c r="H23" s="40"/>
      <c r="I23" s="40"/>
      <c r="J23" s="19">
        <f t="shared" ref="J23:V23" si="42">IF(AND(J2&lt;=$N$18,K2&gt;$N$18),1,0)*$N$16</f>
        <v>0</v>
      </c>
      <c r="K23" s="19">
        <f t="shared" si="42"/>
        <v>0</v>
      </c>
      <c r="L23" s="19">
        <f t="shared" si="42"/>
        <v>0</v>
      </c>
      <c r="M23" s="19">
        <f t="shared" si="42"/>
        <v>0</v>
      </c>
      <c r="N23" s="19">
        <f t="shared" si="42"/>
        <v>0</v>
      </c>
      <c r="O23" s="19">
        <f t="shared" si="42"/>
        <v>1225000</v>
      </c>
      <c r="P23" s="19">
        <f t="shared" si="42"/>
        <v>0</v>
      </c>
      <c r="Q23" s="19">
        <f t="shared" si="42"/>
        <v>0</v>
      </c>
      <c r="R23" s="19">
        <f t="shared" si="42"/>
        <v>0</v>
      </c>
      <c r="S23" s="19">
        <f t="shared" si="42"/>
        <v>0</v>
      </c>
      <c r="T23" s="19">
        <f t="shared" si="42"/>
        <v>0</v>
      </c>
      <c r="U23" s="19">
        <f t="shared" si="42"/>
        <v>0</v>
      </c>
      <c r="V23" s="19">
        <f t="shared" si="42"/>
        <v>0</v>
      </c>
      <c r="W23" s="19"/>
      <c r="X23" s="21"/>
      <c r="Z23" s="174">
        <v>44105</v>
      </c>
      <c r="AA23" s="150"/>
      <c r="AB23" s="150"/>
      <c r="AC23" s="40"/>
      <c r="AD23" s="40"/>
      <c r="AE23" s="40"/>
      <c r="AF23" s="40"/>
      <c r="AG23" s="19">
        <f>IF(AND(AG2&lt;=$AK$18,AH2&gt;$AK$18),1,0)*$AK$16</f>
        <v>0</v>
      </c>
      <c r="AH23" s="19">
        <f t="shared" ref="AH23:AS23" si="43">IF(AND(AH2&lt;=$AK$18,AI2&gt;$AK$18),1,0)*$AK$16</f>
        <v>0</v>
      </c>
      <c r="AI23" s="19">
        <f t="shared" si="43"/>
        <v>0</v>
      </c>
      <c r="AJ23" s="19">
        <f t="shared" si="43"/>
        <v>0</v>
      </c>
      <c r="AK23" s="19">
        <f t="shared" si="43"/>
        <v>0</v>
      </c>
      <c r="AL23" s="19">
        <f t="shared" si="43"/>
        <v>1225000</v>
      </c>
      <c r="AM23" s="19">
        <f t="shared" si="43"/>
        <v>0</v>
      </c>
      <c r="AN23" s="19">
        <f t="shared" si="43"/>
        <v>0</v>
      </c>
      <c r="AO23" s="19">
        <f t="shared" si="43"/>
        <v>0</v>
      </c>
      <c r="AP23" s="19">
        <f t="shared" si="43"/>
        <v>0</v>
      </c>
      <c r="AQ23" s="19">
        <f t="shared" si="43"/>
        <v>0</v>
      </c>
      <c r="AR23" s="19">
        <f t="shared" si="43"/>
        <v>0</v>
      </c>
      <c r="AS23" s="19">
        <f t="shared" si="43"/>
        <v>0</v>
      </c>
      <c r="AT23" s="19"/>
      <c r="AU23" s="21"/>
    </row>
    <row r="24" spans="3:47" s="7" customFormat="1" ht="15.75" x14ac:dyDescent="0.25">
      <c r="C24" s="174">
        <v>44136</v>
      </c>
      <c r="D24" s="150"/>
      <c r="E24" s="150"/>
      <c r="F24" s="40"/>
      <c r="G24" s="40"/>
      <c r="H24" s="40"/>
      <c r="I24" s="40"/>
      <c r="J24" s="19">
        <f t="shared" ref="J24:V24" si="44">IF(AND(J2&lt;=$O$18,K2&gt;$O$18),1,0)*$O$16</f>
        <v>0</v>
      </c>
      <c r="K24" s="19">
        <f t="shared" si="44"/>
        <v>0</v>
      </c>
      <c r="L24" s="19">
        <f t="shared" si="44"/>
        <v>0</v>
      </c>
      <c r="M24" s="19">
        <f t="shared" si="44"/>
        <v>0</v>
      </c>
      <c r="N24" s="19">
        <f t="shared" si="44"/>
        <v>0</v>
      </c>
      <c r="O24" s="19">
        <f t="shared" si="44"/>
        <v>0</v>
      </c>
      <c r="P24" s="19">
        <f t="shared" si="44"/>
        <v>1225000</v>
      </c>
      <c r="Q24" s="19">
        <f t="shared" si="44"/>
        <v>0</v>
      </c>
      <c r="R24" s="19">
        <f t="shared" si="44"/>
        <v>0</v>
      </c>
      <c r="S24" s="19">
        <f t="shared" si="44"/>
        <v>0</v>
      </c>
      <c r="T24" s="19">
        <f t="shared" si="44"/>
        <v>0</v>
      </c>
      <c r="U24" s="19">
        <f t="shared" si="44"/>
        <v>0</v>
      </c>
      <c r="V24" s="19">
        <f t="shared" si="44"/>
        <v>0</v>
      </c>
      <c r="W24" s="19"/>
      <c r="X24" s="21"/>
      <c r="Z24" s="174">
        <v>44136</v>
      </c>
      <c r="AA24" s="150"/>
      <c r="AB24" s="150"/>
      <c r="AC24" s="40"/>
      <c r="AD24" s="40"/>
      <c r="AE24" s="40"/>
      <c r="AF24" s="40"/>
      <c r="AG24" s="19">
        <f>IF(AND(AG2&lt;=$AL$18,AH2&gt;$AL$18),1,0)*$AL$16</f>
        <v>0</v>
      </c>
      <c r="AH24" s="19">
        <f t="shared" ref="AH24:AS24" si="45">IF(AND(AH2&lt;=$AL$18,AI2&gt;$AL$18),1,0)*$AL$16</f>
        <v>0</v>
      </c>
      <c r="AI24" s="19">
        <f t="shared" si="45"/>
        <v>0</v>
      </c>
      <c r="AJ24" s="19">
        <f t="shared" si="45"/>
        <v>0</v>
      </c>
      <c r="AK24" s="19">
        <f t="shared" si="45"/>
        <v>0</v>
      </c>
      <c r="AL24" s="19">
        <f t="shared" si="45"/>
        <v>0</v>
      </c>
      <c r="AM24" s="19">
        <f t="shared" si="45"/>
        <v>1225000</v>
      </c>
      <c r="AN24" s="19">
        <f t="shared" si="45"/>
        <v>0</v>
      </c>
      <c r="AO24" s="19">
        <f t="shared" si="45"/>
        <v>0</v>
      </c>
      <c r="AP24" s="19">
        <f t="shared" si="45"/>
        <v>0</v>
      </c>
      <c r="AQ24" s="19">
        <f t="shared" si="45"/>
        <v>0</v>
      </c>
      <c r="AR24" s="19">
        <f t="shared" si="45"/>
        <v>0</v>
      </c>
      <c r="AS24" s="19">
        <f t="shared" si="45"/>
        <v>0</v>
      </c>
      <c r="AT24" s="19"/>
      <c r="AU24" s="21"/>
    </row>
    <row r="25" spans="3:47" s="7" customFormat="1" ht="15.75" x14ac:dyDescent="0.25">
      <c r="C25" s="174">
        <v>44166</v>
      </c>
      <c r="D25" s="150"/>
      <c r="E25" s="150"/>
      <c r="F25" s="40"/>
      <c r="G25" s="40"/>
      <c r="H25" s="40"/>
      <c r="I25" s="40"/>
      <c r="J25" s="19">
        <f t="shared" ref="J25:V25" si="46">IF(AND(J2&lt;=$P$18,K2&gt;$P$18),1,0)*$P$16</f>
        <v>0</v>
      </c>
      <c r="K25" s="19">
        <f t="shared" si="46"/>
        <v>0</v>
      </c>
      <c r="L25" s="19">
        <f t="shared" si="46"/>
        <v>0</v>
      </c>
      <c r="M25" s="19">
        <f t="shared" si="46"/>
        <v>0</v>
      </c>
      <c r="N25" s="19">
        <f t="shared" si="46"/>
        <v>0</v>
      </c>
      <c r="O25" s="19">
        <f t="shared" si="46"/>
        <v>0</v>
      </c>
      <c r="P25" s="19">
        <f t="shared" si="46"/>
        <v>0</v>
      </c>
      <c r="Q25" s="19">
        <f t="shared" si="46"/>
        <v>1470000</v>
      </c>
      <c r="R25" s="19">
        <f t="shared" si="46"/>
        <v>0</v>
      </c>
      <c r="S25" s="19">
        <f t="shared" si="46"/>
        <v>0</v>
      </c>
      <c r="T25" s="19">
        <f t="shared" si="46"/>
        <v>0</v>
      </c>
      <c r="U25" s="19">
        <f t="shared" si="46"/>
        <v>0</v>
      </c>
      <c r="V25" s="19">
        <f t="shared" si="46"/>
        <v>0</v>
      </c>
      <c r="W25" s="19"/>
      <c r="X25" s="21"/>
      <c r="Z25" s="174">
        <v>44166</v>
      </c>
      <c r="AA25" s="150"/>
      <c r="AB25" s="150"/>
      <c r="AC25" s="40"/>
      <c r="AD25" s="40"/>
      <c r="AE25" s="40"/>
      <c r="AF25" s="40"/>
      <c r="AG25" s="19">
        <f>IF(AND(AG2&lt;=$AM$18,AH2&gt;$AM$18),1,0)*$AM$16</f>
        <v>0</v>
      </c>
      <c r="AH25" s="19">
        <f t="shared" ref="AH25:AS25" si="47">IF(AND(AH2&lt;=$AM$18,AI2&gt;$AM$18),1,0)*$AM$16</f>
        <v>0</v>
      </c>
      <c r="AI25" s="19">
        <f t="shared" si="47"/>
        <v>0</v>
      </c>
      <c r="AJ25" s="19">
        <f t="shared" si="47"/>
        <v>0</v>
      </c>
      <c r="AK25" s="19">
        <f t="shared" si="47"/>
        <v>0</v>
      </c>
      <c r="AL25" s="19">
        <f t="shared" si="47"/>
        <v>0</v>
      </c>
      <c r="AM25" s="19">
        <f t="shared" si="47"/>
        <v>0</v>
      </c>
      <c r="AN25" s="19">
        <f t="shared" si="47"/>
        <v>1470000</v>
      </c>
      <c r="AO25" s="19">
        <f t="shared" si="47"/>
        <v>0</v>
      </c>
      <c r="AP25" s="19">
        <f t="shared" si="47"/>
        <v>0</v>
      </c>
      <c r="AQ25" s="19">
        <f t="shared" si="47"/>
        <v>0</v>
      </c>
      <c r="AR25" s="19">
        <f t="shared" si="47"/>
        <v>0</v>
      </c>
      <c r="AS25" s="19">
        <f t="shared" si="47"/>
        <v>0</v>
      </c>
      <c r="AT25" s="19"/>
      <c r="AU25" s="21"/>
    </row>
    <row r="26" spans="3:47" s="7" customFormat="1" ht="15.75" x14ac:dyDescent="0.25">
      <c r="C26" s="174">
        <v>44197</v>
      </c>
      <c r="D26" s="150"/>
      <c r="E26" s="150"/>
      <c r="F26" s="40"/>
      <c r="G26" s="40"/>
      <c r="H26" s="40"/>
      <c r="I26" s="40"/>
      <c r="J26" s="19">
        <f t="shared" ref="J26:V26" si="48">IF(AND(J2&lt;=$Q$18,K2&gt;$Q$18),1,0)*$Q$16</f>
        <v>0</v>
      </c>
      <c r="K26" s="19">
        <f t="shared" si="48"/>
        <v>0</v>
      </c>
      <c r="L26" s="19">
        <f t="shared" si="48"/>
        <v>0</v>
      </c>
      <c r="M26" s="19">
        <f t="shared" si="48"/>
        <v>0</v>
      </c>
      <c r="N26" s="19">
        <f t="shared" si="48"/>
        <v>0</v>
      </c>
      <c r="O26" s="19">
        <f t="shared" si="48"/>
        <v>0</v>
      </c>
      <c r="P26" s="19">
        <f t="shared" si="48"/>
        <v>0</v>
      </c>
      <c r="Q26" s="19">
        <f t="shared" si="48"/>
        <v>0</v>
      </c>
      <c r="R26" s="19">
        <f t="shared" si="48"/>
        <v>1715000</v>
      </c>
      <c r="S26" s="19">
        <f t="shared" si="48"/>
        <v>0</v>
      </c>
      <c r="T26" s="19">
        <f t="shared" si="48"/>
        <v>0</v>
      </c>
      <c r="U26" s="19">
        <f t="shared" si="48"/>
        <v>0</v>
      </c>
      <c r="V26" s="19">
        <f t="shared" si="48"/>
        <v>0</v>
      </c>
      <c r="W26" s="19"/>
      <c r="X26" s="21"/>
      <c r="Z26" s="174">
        <v>44197</v>
      </c>
      <c r="AA26" s="150"/>
      <c r="AB26" s="150"/>
      <c r="AC26" s="40"/>
      <c r="AD26" s="40"/>
      <c r="AE26" s="40"/>
      <c r="AF26" s="40"/>
      <c r="AG26" s="19">
        <f>IF(AND(AG2&lt;=$AN$18,AH2&gt;$AN$18),1,0)*$AN$16</f>
        <v>0</v>
      </c>
      <c r="AH26" s="19">
        <f t="shared" ref="AH26:AS26" si="49">IF(AND(AH2&lt;=$AN$18,AI2&gt;$AN$18),1,0)*$AN$16</f>
        <v>0</v>
      </c>
      <c r="AI26" s="19">
        <f t="shared" si="49"/>
        <v>0</v>
      </c>
      <c r="AJ26" s="19">
        <f t="shared" si="49"/>
        <v>0</v>
      </c>
      <c r="AK26" s="19">
        <f t="shared" si="49"/>
        <v>0</v>
      </c>
      <c r="AL26" s="19">
        <f t="shared" si="49"/>
        <v>0</v>
      </c>
      <c r="AM26" s="19">
        <f t="shared" si="49"/>
        <v>0</v>
      </c>
      <c r="AN26" s="19">
        <f t="shared" si="49"/>
        <v>0</v>
      </c>
      <c r="AO26" s="19">
        <f t="shared" si="49"/>
        <v>1715000</v>
      </c>
      <c r="AP26" s="19">
        <f t="shared" si="49"/>
        <v>0</v>
      </c>
      <c r="AQ26" s="19">
        <f t="shared" si="49"/>
        <v>0</v>
      </c>
      <c r="AR26" s="19">
        <f t="shared" si="49"/>
        <v>0</v>
      </c>
      <c r="AS26" s="19">
        <f t="shared" si="49"/>
        <v>0</v>
      </c>
      <c r="AT26" s="19"/>
      <c r="AU26" s="21"/>
    </row>
    <row r="27" spans="3:47" s="7" customFormat="1" ht="15.75" x14ac:dyDescent="0.25">
      <c r="C27" s="174">
        <v>44228</v>
      </c>
      <c r="D27" s="150"/>
      <c r="E27" s="150"/>
      <c r="F27" s="40"/>
      <c r="G27" s="40"/>
      <c r="H27" s="40"/>
      <c r="I27" s="40"/>
      <c r="J27" s="19">
        <f t="shared" ref="J27:V27" si="50">IF(AND(J2&lt;=$R$18,K2&gt;$R$18),1,0)*$R$16</f>
        <v>0</v>
      </c>
      <c r="K27" s="19">
        <f t="shared" si="50"/>
        <v>0</v>
      </c>
      <c r="L27" s="19">
        <f t="shared" si="50"/>
        <v>0</v>
      </c>
      <c r="M27" s="19">
        <f t="shared" si="50"/>
        <v>0</v>
      </c>
      <c r="N27" s="19">
        <f t="shared" si="50"/>
        <v>0</v>
      </c>
      <c r="O27" s="19">
        <f t="shared" si="50"/>
        <v>0</v>
      </c>
      <c r="P27" s="19">
        <f t="shared" si="50"/>
        <v>0</v>
      </c>
      <c r="Q27" s="19">
        <f t="shared" si="50"/>
        <v>0</v>
      </c>
      <c r="R27" s="19">
        <f t="shared" si="50"/>
        <v>0</v>
      </c>
      <c r="S27" s="19">
        <f t="shared" si="50"/>
        <v>980000</v>
      </c>
      <c r="T27" s="19">
        <f t="shared" si="50"/>
        <v>0</v>
      </c>
      <c r="U27" s="19">
        <f t="shared" si="50"/>
        <v>0</v>
      </c>
      <c r="V27" s="19">
        <f t="shared" si="50"/>
        <v>0</v>
      </c>
      <c r="W27" s="19"/>
      <c r="X27" s="21"/>
      <c r="Z27" s="174">
        <v>44228</v>
      </c>
      <c r="AA27" s="150"/>
      <c r="AB27" s="150"/>
      <c r="AC27" s="40"/>
      <c r="AD27" s="40"/>
      <c r="AE27" s="40"/>
      <c r="AF27" s="40"/>
      <c r="AG27" s="19">
        <f>IF(AND(AG2&lt;=$AO$18,AH2&gt;$AO$18),1,0)*$AO$16</f>
        <v>0</v>
      </c>
      <c r="AH27" s="19">
        <f t="shared" ref="AH27:AS27" si="51">IF(AND(AH2&lt;=$AO$18,AI2&gt;$AO$18),1,0)*$AO$16</f>
        <v>0</v>
      </c>
      <c r="AI27" s="19">
        <f t="shared" si="51"/>
        <v>0</v>
      </c>
      <c r="AJ27" s="19">
        <f t="shared" si="51"/>
        <v>0</v>
      </c>
      <c r="AK27" s="19">
        <f t="shared" si="51"/>
        <v>0</v>
      </c>
      <c r="AL27" s="19">
        <f t="shared" si="51"/>
        <v>0</v>
      </c>
      <c r="AM27" s="19">
        <f t="shared" si="51"/>
        <v>0</v>
      </c>
      <c r="AN27" s="19">
        <f t="shared" si="51"/>
        <v>0</v>
      </c>
      <c r="AO27" s="19">
        <f t="shared" si="51"/>
        <v>0</v>
      </c>
      <c r="AP27" s="19">
        <f t="shared" si="51"/>
        <v>980000</v>
      </c>
      <c r="AQ27" s="19">
        <f t="shared" si="51"/>
        <v>0</v>
      </c>
      <c r="AR27" s="19">
        <f t="shared" si="51"/>
        <v>0</v>
      </c>
      <c r="AS27" s="19">
        <f t="shared" si="51"/>
        <v>0</v>
      </c>
      <c r="AT27" s="19"/>
      <c r="AU27" s="21"/>
    </row>
    <row r="28" spans="3:47" s="7" customFormat="1" ht="15.75" x14ac:dyDescent="0.25">
      <c r="C28" s="174">
        <v>44256</v>
      </c>
      <c r="D28" s="150"/>
      <c r="E28" s="150"/>
      <c r="F28" s="40"/>
      <c r="G28" s="40"/>
      <c r="H28" s="40"/>
      <c r="I28" s="40"/>
      <c r="J28" s="19">
        <f t="shared" ref="J28:V28" si="52">IF(AND(J2&lt;=$S$18,K2&gt;$S$18),1,0)*$S$16</f>
        <v>0</v>
      </c>
      <c r="K28" s="19">
        <f t="shared" si="52"/>
        <v>0</v>
      </c>
      <c r="L28" s="19">
        <f t="shared" si="52"/>
        <v>0</v>
      </c>
      <c r="M28" s="19">
        <f t="shared" si="52"/>
        <v>0</v>
      </c>
      <c r="N28" s="19">
        <f t="shared" si="52"/>
        <v>0</v>
      </c>
      <c r="O28" s="19">
        <f t="shared" si="52"/>
        <v>0</v>
      </c>
      <c r="P28" s="19">
        <f t="shared" si="52"/>
        <v>0</v>
      </c>
      <c r="Q28" s="19">
        <f t="shared" si="52"/>
        <v>0</v>
      </c>
      <c r="R28" s="19">
        <f t="shared" si="52"/>
        <v>0</v>
      </c>
      <c r="S28" s="19">
        <f t="shared" si="52"/>
        <v>0</v>
      </c>
      <c r="T28" s="19">
        <f t="shared" si="52"/>
        <v>1715000</v>
      </c>
      <c r="U28" s="19">
        <f t="shared" si="52"/>
        <v>0</v>
      </c>
      <c r="V28" s="19">
        <f t="shared" si="52"/>
        <v>0</v>
      </c>
      <c r="W28" s="19"/>
      <c r="X28" s="21"/>
      <c r="Z28" s="174">
        <v>44256</v>
      </c>
      <c r="AA28" s="150"/>
      <c r="AB28" s="150"/>
      <c r="AC28" s="40"/>
      <c r="AD28" s="40"/>
      <c r="AE28" s="40"/>
      <c r="AF28" s="40"/>
      <c r="AG28" s="19">
        <f>IF(AND(AG2&lt;=$AP$18,AH2&gt;$AP$18),1,0)*$AP$16</f>
        <v>0</v>
      </c>
      <c r="AH28" s="19">
        <f t="shared" ref="AH28:AS28" si="53">IF(AND(AH2&lt;=$AP$18,AI2&gt;$AP$18),1,0)*$AP$16</f>
        <v>0</v>
      </c>
      <c r="AI28" s="19">
        <f t="shared" si="53"/>
        <v>0</v>
      </c>
      <c r="AJ28" s="19">
        <f t="shared" si="53"/>
        <v>0</v>
      </c>
      <c r="AK28" s="19">
        <f t="shared" si="53"/>
        <v>0</v>
      </c>
      <c r="AL28" s="19">
        <f t="shared" si="53"/>
        <v>0</v>
      </c>
      <c r="AM28" s="19">
        <f t="shared" si="53"/>
        <v>0</v>
      </c>
      <c r="AN28" s="19">
        <f t="shared" si="53"/>
        <v>0</v>
      </c>
      <c r="AO28" s="19">
        <f t="shared" si="53"/>
        <v>0</v>
      </c>
      <c r="AP28" s="19">
        <f t="shared" si="53"/>
        <v>0</v>
      </c>
      <c r="AQ28" s="19">
        <f t="shared" si="53"/>
        <v>1715000</v>
      </c>
      <c r="AR28" s="19">
        <f t="shared" si="53"/>
        <v>0</v>
      </c>
      <c r="AS28" s="19">
        <f t="shared" si="53"/>
        <v>0</v>
      </c>
      <c r="AT28" s="19"/>
      <c r="AU28" s="21"/>
    </row>
    <row r="29" spans="3:47" s="7" customFormat="1" ht="15.75" x14ac:dyDescent="0.25">
      <c r="C29" s="174">
        <v>44287</v>
      </c>
      <c r="D29" s="150"/>
      <c r="E29" s="150"/>
      <c r="F29" s="40"/>
      <c r="G29" s="40"/>
      <c r="H29" s="40"/>
      <c r="I29" s="40"/>
      <c r="J29" s="19">
        <f t="shared" ref="J29:V29" si="54">IF(AND(J2&lt;=$T$18,K2&gt;$T$18),1,0)*$T$16</f>
        <v>0</v>
      </c>
      <c r="K29" s="19">
        <f t="shared" si="54"/>
        <v>0</v>
      </c>
      <c r="L29" s="19">
        <f t="shared" si="54"/>
        <v>0</v>
      </c>
      <c r="M29" s="19">
        <f t="shared" si="54"/>
        <v>0</v>
      </c>
      <c r="N29" s="19">
        <f t="shared" si="54"/>
        <v>0</v>
      </c>
      <c r="O29" s="19">
        <f t="shared" si="54"/>
        <v>0</v>
      </c>
      <c r="P29" s="19">
        <f t="shared" si="54"/>
        <v>0</v>
      </c>
      <c r="Q29" s="19">
        <f t="shared" si="54"/>
        <v>0</v>
      </c>
      <c r="R29" s="19">
        <f t="shared" si="54"/>
        <v>0</v>
      </c>
      <c r="S29" s="19">
        <f t="shared" si="54"/>
        <v>0</v>
      </c>
      <c r="T29" s="19">
        <f t="shared" si="54"/>
        <v>0</v>
      </c>
      <c r="U29" s="19">
        <f t="shared" si="54"/>
        <v>1960000</v>
      </c>
      <c r="V29" s="19">
        <f t="shared" si="54"/>
        <v>0</v>
      </c>
      <c r="W29" s="19"/>
      <c r="X29" s="21"/>
      <c r="Z29" s="174">
        <v>44287</v>
      </c>
      <c r="AA29" s="150"/>
      <c r="AB29" s="150"/>
      <c r="AC29" s="40"/>
      <c r="AD29" s="40"/>
      <c r="AE29" s="40"/>
      <c r="AF29" s="40"/>
      <c r="AG29" s="19">
        <f>IF(AND(AG2&lt;=$AQ$18,AH2&gt;$AQ$18),1,0)*$AQ$16</f>
        <v>0</v>
      </c>
      <c r="AH29" s="19">
        <f t="shared" ref="AH29:AS29" si="55">IF(AND(AH2&lt;=$AQ$18,AI2&gt;$AQ$18),1,0)*$AQ$16</f>
        <v>0</v>
      </c>
      <c r="AI29" s="19">
        <f t="shared" si="55"/>
        <v>0</v>
      </c>
      <c r="AJ29" s="19">
        <f t="shared" si="55"/>
        <v>0</v>
      </c>
      <c r="AK29" s="19">
        <f t="shared" si="55"/>
        <v>0</v>
      </c>
      <c r="AL29" s="19">
        <f t="shared" si="55"/>
        <v>0</v>
      </c>
      <c r="AM29" s="19">
        <f t="shared" si="55"/>
        <v>0</v>
      </c>
      <c r="AN29" s="19">
        <f t="shared" si="55"/>
        <v>0</v>
      </c>
      <c r="AO29" s="19">
        <f t="shared" si="55"/>
        <v>0</v>
      </c>
      <c r="AP29" s="19">
        <f t="shared" si="55"/>
        <v>0</v>
      </c>
      <c r="AQ29" s="19">
        <f t="shared" si="55"/>
        <v>0</v>
      </c>
      <c r="AR29" s="19">
        <f t="shared" si="55"/>
        <v>1960000</v>
      </c>
      <c r="AS29" s="19">
        <f t="shared" si="55"/>
        <v>0</v>
      </c>
      <c r="AT29" s="19"/>
      <c r="AU29" s="21"/>
    </row>
    <row r="30" spans="3:47" s="7" customFormat="1" ht="15.75" x14ac:dyDescent="0.25">
      <c r="C30" s="174">
        <v>44317</v>
      </c>
      <c r="D30" s="150"/>
      <c r="E30" s="150"/>
      <c r="F30" s="40"/>
      <c r="G30" s="40"/>
      <c r="H30" s="40"/>
      <c r="I30" s="40"/>
      <c r="J30" s="19">
        <f t="shared" ref="J30:V30" si="56">IF(AND(J2&lt;=$U$18,K2&gt;$U$18),1,0)*$U$16</f>
        <v>0</v>
      </c>
      <c r="K30" s="19">
        <f t="shared" si="56"/>
        <v>0</v>
      </c>
      <c r="L30" s="19">
        <f t="shared" si="56"/>
        <v>0</v>
      </c>
      <c r="M30" s="19">
        <f t="shared" si="56"/>
        <v>0</v>
      </c>
      <c r="N30" s="19">
        <f t="shared" si="56"/>
        <v>0</v>
      </c>
      <c r="O30" s="19">
        <f t="shared" si="56"/>
        <v>0</v>
      </c>
      <c r="P30" s="19">
        <f t="shared" si="56"/>
        <v>0</v>
      </c>
      <c r="Q30" s="19">
        <f t="shared" si="56"/>
        <v>0</v>
      </c>
      <c r="R30" s="19">
        <f t="shared" si="56"/>
        <v>0</v>
      </c>
      <c r="S30" s="19">
        <f t="shared" si="56"/>
        <v>0</v>
      </c>
      <c r="T30" s="19">
        <f t="shared" si="56"/>
        <v>0</v>
      </c>
      <c r="U30" s="19">
        <f t="shared" si="56"/>
        <v>0</v>
      </c>
      <c r="V30" s="19">
        <f t="shared" si="56"/>
        <v>2205000</v>
      </c>
      <c r="W30" s="19"/>
      <c r="X30" s="21"/>
      <c r="Z30" s="174">
        <v>44317</v>
      </c>
      <c r="AA30" s="150"/>
      <c r="AB30" s="150"/>
      <c r="AC30" s="40"/>
      <c r="AD30" s="40"/>
      <c r="AE30" s="40"/>
      <c r="AF30" s="40"/>
      <c r="AG30" s="19">
        <f>IF(AND(AG2&lt;=$AR$18,AH2&gt;$AR$18),1,0)*$AR$16</f>
        <v>0</v>
      </c>
      <c r="AH30" s="19">
        <f t="shared" ref="AH30:AS30" si="57">IF(AND(AH2&lt;=$AR$18,AI2&gt;$AR$18),1,0)*$AR$16</f>
        <v>0</v>
      </c>
      <c r="AI30" s="19">
        <f t="shared" si="57"/>
        <v>0</v>
      </c>
      <c r="AJ30" s="19">
        <f t="shared" si="57"/>
        <v>0</v>
      </c>
      <c r="AK30" s="19">
        <f t="shared" si="57"/>
        <v>0</v>
      </c>
      <c r="AL30" s="19">
        <f t="shared" si="57"/>
        <v>0</v>
      </c>
      <c r="AM30" s="19">
        <f t="shared" si="57"/>
        <v>0</v>
      </c>
      <c r="AN30" s="19">
        <f t="shared" si="57"/>
        <v>0</v>
      </c>
      <c r="AO30" s="19">
        <f t="shared" si="57"/>
        <v>0</v>
      </c>
      <c r="AP30" s="19">
        <f t="shared" si="57"/>
        <v>0</v>
      </c>
      <c r="AQ30" s="19">
        <f t="shared" si="57"/>
        <v>0</v>
      </c>
      <c r="AR30" s="19">
        <f t="shared" si="57"/>
        <v>0</v>
      </c>
      <c r="AS30" s="19">
        <f t="shared" si="57"/>
        <v>2205000</v>
      </c>
      <c r="AT30" s="19"/>
      <c r="AU30" s="21"/>
    </row>
    <row r="31" spans="3:47" s="7" customFormat="1" ht="15.75" x14ac:dyDescent="0.25">
      <c r="C31" s="174">
        <v>44348</v>
      </c>
      <c r="D31" s="150"/>
      <c r="E31" s="150"/>
      <c r="F31" s="40"/>
      <c r="G31" s="40"/>
      <c r="H31" s="40"/>
      <c r="I31" s="40"/>
      <c r="J31" s="19">
        <f t="shared" ref="J31:V31" si="58">IF(AND(J2&lt;=$V$18,K2&gt;$V$18),1,0)*$V$16</f>
        <v>0</v>
      </c>
      <c r="K31" s="19">
        <f t="shared" si="58"/>
        <v>0</v>
      </c>
      <c r="L31" s="19">
        <f t="shared" si="58"/>
        <v>0</v>
      </c>
      <c r="M31" s="19">
        <f t="shared" si="58"/>
        <v>0</v>
      </c>
      <c r="N31" s="19">
        <f t="shared" si="58"/>
        <v>0</v>
      </c>
      <c r="O31" s="19">
        <f t="shared" si="58"/>
        <v>0</v>
      </c>
      <c r="P31" s="19">
        <f t="shared" si="58"/>
        <v>0</v>
      </c>
      <c r="Q31" s="19">
        <f t="shared" si="58"/>
        <v>0</v>
      </c>
      <c r="R31" s="19">
        <f t="shared" si="58"/>
        <v>0</v>
      </c>
      <c r="S31" s="19">
        <f t="shared" si="58"/>
        <v>0</v>
      </c>
      <c r="T31" s="19">
        <f t="shared" si="58"/>
        <v>0</v>
      </c>
      <c r="U31" s="19">
        <f t="shared" si="58"/>
        <v>0</v>
      </c>
      <c r="V31" s="19">
        <f t="shared" si="58"/>
        <v>0</v>
      </c>
      <c r="W31" s="19"/>
      <c r="X31" s="21"/>
      <c r="Z31" s="174">
        <v>44348</v>
      </c>
      <c r="AA31" s="150"/>
      <c r="AB31" s="150"/>
      <c r="AC31" s="40"/>
      <c r="AD31" s="40"/>
      <c r="AE31" s="40"/>
      <c r="AF31" s="40"/>
      <c r="AG31" s="19">
        <f>IF(AND(AG2&lt;=$AS$18,AH2&gt;$AS$18),1,0)*$AS$16</f>
        <v>0</v>
      </c>
      <c r="AH31" s="19">
        <f t="shared" ref="AH31:AS31" si="59">IF(AND(AH2&lt;=$AS$18,AI2&gt;$AS$18),1,0)*$AS$16</f>
        <v>0</v>
      </c>
      <c r="AI31" s="19">
        <f t="shared" si="59"/>
        <v>0</v>
      </c>
      <c r="AJ31" s="19">
        <f t="shared" si="59"/>
        <v>0</v>
      </c>
      <c r="AK31" s="19">
        <f t="shared" si="59"/>
        <v>0</v>
      </c>
      <c r="AL31" s="19">
        <f t="shared" si="59"/>
        <v>0</v>
      </c>
      <c r="AM31" s="19">
        <f t="shared" si="59"/>
        <v>0</v>
      </c>
      <c r="AN31" s="19">
        <f t="shared" si="59"/>
        <v>0</v>
      </c>
      <c r="AO31" s="19">
        <f t="shared" si="59"/>
        <v>0</v>
      </c>
      <c r="AP31" s="19">
        <f t="shared" si="59"/>
        <v>0</v>
      </c>
      <c r="AQ31" s="19">
        <f t="shared" si="59"/>
        <v>0</v>
      </c>
      <c r="AR31" s="19">
        <f t="shared" si="59"/>
        <v>0</v>
      </c>
      <c r="AS31" s="19">
        <f t="shared" si="59"/>
        <v>0</v>
      </c>
      <c r="AT31" s="19"/>
      <c r="AU31" s="21"/>
    </row>
    <row r="32" spans="3:47" s="7" customFormat="1" ht="15.75" x14ac:dyDescent="0.25">
      <c r="C32" s="24"/>
      <c r="D32" s="150"/>
      <c r="E32" s="150"/>
      <c r="F32" s="40"/>
      <c r="G32" s="40"/>
      <c r="H32" s="40"/>
      <c r="I32" s="40"/>
      <c r="J32" s="19"/>
      <c r="K32" s="19"/>
      <c r="L32" s="19"/>
      <c r="M32" s="19"/>
      <c r="N32" s="19"/>
      <c r="O32" s="19"/>
      <c r="P32" s="19"/>
      <c r="Q32" s="19"/>
      <c r="R32" s="19"/>
      <c r="S32" s="19"/>
      <c r="T32" s="19"/>
      <c r="U32" s="19"/>
      <c r="V32" s="19"/>
      <c r="W32" s="19"/>
      <c r="X32" s="21"/>
      <c r="Z32" s="24"/>
      <c r="AA32" s="150"/>
      <c r="AB32" s="150"/>
      <c r="AC32" s="40"/>
      <c r="AD32" s="40"/>
      <c r="AE32" s="40"/>
      <c r="AF32" s="40"/>
      <c r="AG32" s="19"/>
      <c r="AH32" s="19"/>
      <c r="AI32" s="19"/>
      <c r="AJ32" s="19"/>
      <c r="AK32" s="19"/>
      <c r="AL32" s="19"/>
      <c r="AM32" s="19"/>
      <c r="AN32" s="19"/>
      <c r="AO32" s="19"/>
      <c r="AP32" s="19"/>
      <c r="AQ32" s="19"/>
      <c r="AR32" s="19"/>
      <c r="AS32" s="19"/>
      <c r="AT32" s="19"/>
      <c r="AU32" s="21"/>
    </row>
    <row r="33" spans="3:47" s="7" customFormat="1" ht="15.75" x14ac:dyDescent="0.25">
      <c r="C33" s="24" t="s">
        <v>18</v>
      </c>
      <c r="D33" s="150"/>
      <c r="E33" s="150"/>
      <c r="F33" s="40"/>
      <c r="G33" s="40"/>
      <c r="H33" s="40"/>
      <c r="I33" s="40"/>
      <c r="J33" s="65">
        <f>SUM(J10,J15,J19:J31)</f>
        <v>925000.00000000012</v>
      </c>
      <c r="K33" s="65">
        <f t="shared" ref="K33:V33" si="60">SUM(K10,K15,K19:K31)</f>
        <v>2150000</v>
      </c>
      <c r="L33" s="65">
        <f t="shared" si="60"/>
        <v>1750000</v>
      </c>
      <c r="M33" s="65">
        <f t="shared" si="60"/>
        <v>1750000</v>
      </c>
      <c r="N33" s="65">
        <f t="shared" si="60"/>
        <v>1750000</v>
      </c>
      <c r="O33" s="65">
        <f t="shared" si="60"/>
        <v>1750000</v>
      </c>
      <c r="P33" s="65">
        <f t="shared" si="60"/>
        <v>1855000</v>
      </c>
      <c r="Q33" s="65">
        <f t="shared" si="60"/>
        <v>2205000</v>
      </c>
      <c r="R33" s="65">
        <f t="shared" si="60"/>
        <v>2135000</v>
      </c>
      <c r="S33" s="65">
        <f t="shared" si="60"/>
        <v>1715000</v>
      </c>
      <c r="T33" s="65">
        <f t="shared" si="60"/>
        <v>2555000</v>
      </c>
      <c r="U33" s="65">
        <f t="shared" si="60"/>
        <v>2905000</v>
      </c>
      <c r="V33" s="65">
        <f t="shared" si="60"/>
        <v>3255000</v>
      </c>
      <c r="W33" s="19"/>
      <c r="X33" s="21"/>
      <c r="Z33" s="24" t="s">
        <v>18</v>
      </c>
      <c r="AA33" s="150"/>
      <c r="AB33" s="150"/>
      <c r="AC33" s="40"/>
      <c r="AD33" s="40"/>
      <c r="AE33" s="40"/>
      <c r="AF33" s="40"/>
      <c r="AG33" s="65">
        <f>SUM(AG10,AG15,AG19:AG31)</f>
        <v>525000.00000000012</v>
      </c>
      <c r="AH33" s="65">
        <f t="shared" ref="AH33:AS33" si="61">SUM(AH10,AH15,AH19:AH31)</f>
        <v>1750000</v>
      </c>
      <c r="AI33" s="65">
        <f t="shared" si="61"/>
        <v>1750000</v>
      </c>
      <c r="AJ33" s="65">
        <f t="shared" si="61"/>
        <v>1750000</v>
      </c>
      <c r="AK33" s="65">
        <f t="shared" si="61"/>
        <v>1750000</v>
      </c>
      <c r="AL33" s="65">
        <f t="shared" si="61"/>
        <v>1750000</v>
      </c>
      <c r="AM33" s="65">
        <f t="shared" si="61"/>
        <v>1855000</v>
      </c>
      <c r="AN33" s="65">
        <f t="shared" si="61"/>
        <v>2205000</v>
      </c>
      <c r="AO33" s="65">
        <f t="shared" si="61"/>
        <v>2135000</v>
      </c>
      <c r="AP33" s="65">
        <f t="shared" si="61"/>
        <v>1715000</v>
      </c>
      <c r="AQ33" s="65">
        <f t="shared" si="61"/>
        <v>2555000</v>
      </c>
      <c r="AR33" s="65">
        <f t="shared" si="61"/>
        <v>2905000</v>
      </c>
      <c r="AS33" s="65">
        <f t="shared" si="61"/>
        <v>3255000</v>
      </c>
      <c r="AT33" s="19"/>
      <c r="AU33" s="21"/>
    </row>
    <row r="34" spans="3:47" s="7" customFormat="1" ht="15.75" x14ac:dyDescent="0.25">
      <c r="C34" s="24" t="s">
        <v>204</v>
      </c>
      <c r="D34" s="150"/>
      <c r="E34" s="150"/>
      <c r="F34" s="40"/>
      <c r="G34" s="40"/>
      <c r="H34" s="40"/>
      <c r="I34" s="40"/>
      <c r="J34" s="19">
        <f>J33-J15</f>
        <v>400000</v>
      </c>
      <c r="K34" s="19">
        <f t="shared" ref="K34:V34" si="62">K33-K15</f>
        <v>1625000</v>
      </c>
      <c r="L34" s="19">
        <f t="shared" si="62"/>
        <v>1225000</v>
      </c>
      <c r="M34" s="19">
        <f t="shared" si="62"/>
        <v>1225000</v>
      </c>
      <c r="N34" s="19">
        <f t="shared" si="62"/>
        <v>1225000</v>
      </c>
      <c r="O34" s="19">
        <f t="shared" si="62"/>
        <v>1225000</v>
      </c>
      <c r="P34" s="19">
        <f t="shared" si="62"/>
        <v>1225000</v>
      </c>
      <c r="Q34" s="19">
        <f t="shared" si="62"/>
        <v>1470000</v>
      </c>
      <c r="R34" s="19">
        <f t="shared" si="62"/>
        <v>1715000</v>
      </c>
      <c r="S34" s="19">
        <f t="shared" si="62"/>
        <v>979999.99999999988</v>
      </c>
      <c r="T34" s="19">
        <f t="shared" si="62"/>
        <v>1715000</v>
      </c>
      <c r="U34" s="19">
        <f t="shared" si="62"/>
        <v>1960000</v>
      </c>
      <c r="V34" s="19">
        <f t="shared" si="62"/>
        <v>2205000</v>
      </c>
      <c r="W34" s="19"/>
      <c r="X34" s="21"/>
      <c r="Z34" s="24" t="s">
        <v>204</v>
      </c>
      <c r="AA34" s="150"/>
      <c r="AB34" s="150"/>
      <c r="AC34" s="40"/>
      <c r="AD34" s="40"/>
      <c r="AE34" s="40"/>
      <c r="AF34" s="40"/>
      <c r="AG34" s="19">
        <f>AG33-AG15</f>
        <v>0</v>
      </c>
      <c r="AH34" s="19">
        <f t="shared" ref="AH34:AS34" si="63">AH33-AH15</f>
        <v>1225000</v>
      </c>
      <c r="AI34" s="19">
        <f t="shared" si="63"/>
        <v>1225000</v>
      </c>
      <c r="AJ34" s="19">
        <f t="shared" si="63"/>
        <v>1225000</v>
      </c>
      <c r="AK34" s="19">
        <f t="shared" si="63"/>
        <v>1225000</v>
      </c>
      <c r="AL34" s="19">
        <f t="shared" si="63"/>
        <v>1225000</v>
      </c>
      <c r="AM34" s="19">
        <f t="shared" si="63"/>
        <v>1225000</v>
      </c>
      <c r="AN34" s="19">
        <f t="shared" si="63"/>
        <v>1470000</v>
      </c>
      <c r="AO34" s="19">
        <f t="shared" si="63"/>
        <v>1715000</v>
      </c>
      <c r="AP34" s="19">
        <f t="shared" si="63"/>
        <v>979999.99999999988</v>
      </c>
      <c r="AQ34" s="19">
        <f t="shared" si="63"/>
        <v>1715000</v>
      </c>
      <c r="AR34" s="19">
        <f t="shared" si="63"/>
        <v>1960000</v>
      </c>
      <c r="AS34" s="19">
        <f t="shared" si="63"/>
        <v>2205000</v>
      </c>
      <c r="AT34" s="19"/>
      <c r="AU34" s="21"/>
    </row>
    <row r="35" spans="3:47" s="7" customFormat="1" ht="15.75" x14ac:dyDescent="0.25">
      <c r="C35" s="24"/>
      <c r="D35" s="150"/>
      <c r="E35" s="150"/>
      <c r="F35" s="40"/>
      <c r="G35" s="40"/>
      <c r="H35" s="40"/>
      <c r="I35" s="40"/>
      <c r="J35" s="19"/>
      <c r="K35" s="19"/>
      <c r="L35" s="19"/>
      <c r="M35" s="19"/>
      <c r="N35" s="19"/>
      <c r="O35" s="19"/>
      <c r="P35" s="19"/>
      <c r="Q35" s="19"/>
      <c r="R35" s="19"/>
      <c r="S35" s="19"/>
      <c r="T35" s="19"/>
      <c r="U35" s="19"/>
      <c r="V35" s="19"/>
      <c r="W35" s="19"/>
      <c r="X35" s="21"/>
      <c r="Z35" s="24"/>
      <c r="AA35" s="150"/>
      <c r="AB35" s="150"/>
      <c r="AC35" s="40"/>
      <c r="AD35" s="40"/>
      <c r="AE35" s="40"/>
      <c r="AF35" s="40"/>
      <c r="AG35" s="19"/>
      <c r="AH35" s="19"/>
      <c r="AI35" s="19"/>
      <c r="AJ35" s="19"/>
      <c r="AK35" s="19"/>
      <c r="AL35" s="19"/>
      <c r="AM35" s="19"/>
      <c r="AN35" s="19"/>
      <c r="AO35" s="19"/>
      <c r="AP35" s="19"/>
      <c r="AQ35" s="19"/>
      <c r="AR35" s="19"/>
      <c r="AS35" s="19"/>
      <c r="AT35" s="19"/>
      <c r="AU35" s="21"/>
    </row>
    <row r="36" spans="3:47" s="7" customFormat="1" ht="15.75" x14ac:dyDescent="0.25">
      <c r="C36" s="23" t="s">
        <v>176</v>
      </c>
      <c r="D36" s="175" t="s">
        <v>174</v>
      </c>
      <c r="E36" s="40"/>
      <c r="F36" s="40"/>
      <c r="G36" s="40"/>
      <c r="H36" s="40"/>
      <c r="I36" s="40"/>
      <c r="J36" s="19"/>
      <c r="K36" s="19"/>
      <c r="L36" s="19"/>
      <c r="M36" s="19"/>
      <c r="N36" s="19"/>
      <c r="O36" s="19"/>
      <c r="P36" s="19"/>
      <c r="Q36" s="19"/>
      <c r="R36" s="19"/>
      <c r="S36" s="19"/>
      <c r="T36" s="19"/>
      <c r="U36" s="19"/>
      <c r="V36" s="19"/>
      <c r="W36" s="19"/>
      <c r="X36" s="21"/>
      <c r="Z36" s="23" t="s">
        <v>176</v>
      </c>
      <c r="AA36" s="175" t="s">
        <v>174</v>
      </c>
      <c r="AB36" s="40"/>
      <c r="AC36" s="40"/>
      <c r="AD36" s="40"/>
      <c r="AE36" s="40"/>
      <c r="AF36" s="40"/>
      <c r="AG36" s="19"/>
      <c r="AH36" s="19"/>
      <c r="AI36" s="19"/>
      <c r="AJ36" s="19"/>
      <c r="AK36" s="19"/>
      <c r="AL36" s="19"/>
      <c r="AM36" s="19"/>
      <c r="AN36" s="19"/>
      <c r="AO36" s="19"/>
      <c r="AP36" s="19"/>
      <c r="AQ36" s="19"/>
      <c r="AR36" s="19"/>
      <c r="AS36" s="19"/>
      <c r="AT36" s="19"/>
      <c r="AU36" s="21"/>
    </row>
    <row r="37" spans="3:47" s="7" customFormat="1" ht="15.75" x14ac:dyDescent="0.25">
      <c r="C37" s="174">
        <f t="array" ref="C37:C49">TRANSPOSE(J2:V2)</f>
        <v>43983</v>
      </c>
      <c r="D37" s="172">
        <f>EDATE(C37,1)</f>
        <v>44013</v>
      </c>
      <c r="E37" s="40"/>
      <c r="F37" s="40"/>
      <c r="G37" s="40"/>
      <c r="H37" s="40"/>
      <c r="I37" s="19">
        <f t="array" ref="I37:I49">TRANSPOSE(J11:V11)</f>
        <v>400000</v>
      </c>
      <c r="J37" s="19">
        <f t="shared" ref="J37:J49" si="64">IF(AND(D37&gt;$J$2,D37&lt;=$J$18),1,0)*$J$16</f>
        <v>1225000</v>
      </c>
      <c r="K37" s="19">
        <f t="shared" ref="K37:K49" si="65">IF(AND(D37&gt;$K$2,D37&lt;=$K$18),1,0)*$K$16</f>
        <v>0</v>
      </c>
      <c r="L37" s="19">
        <f t="shared" ref="L37:L49" si="66">IF(AND(D37&gt;$L$2,D37&lt;=$L$18),1,0)*$L$16</f>
        <v>0</v>
      </c>
      <c r="M37" s="19">
        <f t="shared" ref="M37:M49" si="67">IF(AND(D37&gt;$M$2,D37&lt;=$M$18),1,0)*$M$16</f>
        <v>0</v>
      </c>
      <c r="N37" s="19">
        <f t="shared" ref="N37:N49" si="68">IF(AND(D37&gt;$N$2,D37&lt;=$N$18),1,0)*$N$16</f>
        <v>0</v>
      </c>
      <c r="O37" s="19">
        <f t="shared" ref="O37:O49" si="69">IF(AND(D37&gt;$O$2,D37&lt;=$O$18),1,0)*$O$16</f>
        <v>0</v>
      </c>
      <c r="P37" s="19">
        <f t="shared" ref="P37:P49" si="70">IF(AND(D37&gt;$P$2,D37&lt;=$P$18),1,0)*$P$16</f>
        <v>0</v>
      </c>
      <c r="Q37" s="19">
        <f t="shared" ref="Q37:Q49" si="71">IF(AND(D37&gt;$Q$2,D37&lt;=$Q$18),1,0)*$Q$16</f>
        <v>0</v>
      </c>
      <c r="R37" s="19">
        <f t="shared" ref="R37:R49" si="72">IF(AND(D37&gt;$R$2,D37&lt;=$R$18),1,0)*$R$16</f>
        <v>0</v>
      </c>
      <c r="S37" s="19">
        <f t="shared" ref="S37:S49" si="73">IF(AND(D37&gt;$S$2,D37&lt;=$S$18),1,0)*$S$16</f>
        <v>0</v>
      </c>
      <c r="T37" s="19">
        <f t="shared" ref="T37:T49" si="74">IF(AND(D37&gt;$T$2,D37&lt;=$T$18),1,0)*$T$16</f>
        <v>0</v>
      </c>
      <c r="U37" s="19">
        <f t="shared" ref="U37:U49" si="75">IF(AND(D37&gt;$U$2,D37&lt;=$U$18),1,0)*$U$16</f>
        <v>0</v>
      </c>
      <c r="V37" s="19">
        <f t="shared" ref="V37:V49" si="76">IF(AND(D37&gt;$V$2,D37&lt;=$V$18),1,0)*$V$16</f>
        <v>0</v>
      </c>
      <c r="W37" s="19">
        <f>SUM(I37:V37)</f>
        <v>1625000</v>
      </c>
      <c r="X37" s="21"/>
      <c r="Z37" s="174">
        <f t="array" ref="Z37:Z49">TRANSPOSE(AG2:AS2)</f>
        <v>43983</v>
      </c>
      <c r="AA37" s="172">
        <f>EDATE(Z37,1)</f>
        <v>44013</v>
      </c>
      <c r="AB37" s="40"/>
      <c r="AC37" s="40"/>
      <c r="AD37" s="40"/>
      <c r="AE37" s="40"/>
      <c r="AF37" s="19">
        <f t="array" ref="AF37:AF49">TRANSPOSE(AG11:AS11)</f>
        <v>0</v>
      </c>
      <c r="AG37" s="19">
        <f>IF(AND($AA$37&gt;AG2,$AA$37&lt;=AG18),1,0)*AG16</f>
        <v>1225000</v>
      </c>
      <c r="AH37" s="19">
        <f t="shared" ref="AH37:AS37" si="77">IF(AND($AA$37&gt;AH2,$AA$37&lt;=AH18),1,0)*AH16</f>
        <v>0</v>
      </c>
      <c r="AI37" s="19">
        <f t="shared" si="77"/>
        <v>0</v>
      </c>
      <c r="AJ37" s="19">
        <f t="shared" si="77"/>
        <v>0</v>
      </c>
      <c r="AK37" s="19">
        <f t="shared" si="77"/>
        <v>0</v>
      </c>
      <c r="AL37" s="19">
        <f t="shared" si="77"/>
        <v>0</v>
      </c>
      <c r="AM37" s="19">
        <f t="shared" si="77"/>
        <v>0</v>
      </c>
      <c r="AN37" s="19">
        <f t="shared" si="77"/>
        <v>0</v>
      </c>
      <c r="AO37" s="19">
        <f t="shared" si="77"/>
        <v>0</v>
      </c>
      <c r="AP37" s="19">
        <f t="shared" si="77"/>
        <v>0</v>
      </c>
      <c r="AQ37" s="19">
        <f t="shared" si="77"/>
        <v>0</v>
      </c>
      <c r="AR37" s="19">
        <f t="shared" si="77"/>
        <v>0</v>
      </c>
      <c r="AS37" s="19">
        <f t="shared" si="77"/>
        <v>0</v>
      </c>
      <c r="AT37" s="19">
        <f>SUM(AF37:AS37)</f>
        <v>1225000</v>
      </c>
      <c r="AU37" s="21"/>
    </row>
    <row r="38" spans="3:47" s="7" customFormat="1" ht="15.75" x14ac:dyDescent="0.25">
      <c r="C38" s="174">
        <v>44013</v>
      </c>
      <c r="D38" s="172">
        <f t="shared" ref="D38:D49" si="78">EDATE(C38,1)</f>
        <v>44044</v>
      </c>
      <c r="E38" s="40"/>
      <c r="F38" s="40"/>
      <c r="G38" s="40"/>
      <c r="H38" s="40"/>
      <c r="I38" s="19">
        <v>0</v>
      </c>
      <c r="J38" s="19">
        <f t="shared" si="64"/>
        <v>0</v>
      </c>
      <c r="K38" s="19">
        <f t="shared" si="65"/>
        <v>1225000</v>
      </c>
      <c r="L38" s="19">
        <f t="shared" si="66"/>
        <v>0</v>
      </c>
      <c r="M38" s="19">
        <f t="shared" si="67"/>
        <v>0</v>
      </c>
      <c r="N38" s="19">
        <f t="shared" si="68"/>
        <v>0</v>
      </c>
      <c r="O38" s="19">
        <f t="shared" si="69"/>
        <v>0</v>
      </c>
      <c r="P38" s="19">
        <f t="shared" si="70"/>
        <v>0</v>
      </c>
      <c r="Q38" s="19">
        <f t="shared" si="71"/>
        <v>0</v>
      </c>
      <c r="R38" s="19">
        <f t="shared" si="72"/>
        <v>0</v>
      </c>
      <c r="S38" s="19">
        <f t="shared" si="73"/>
        <v>0</v>
      </c>
      <c r="T38" s="19">
        <f t="shared" si="74"/>
        <v>0</v>
      </c>
      <c r="U38" s="19">
        <f t="shared" si="75"/>
        <v>0</v>
      </c>
      <c r="V38" s="19">
        <f t="shared" si="76"/>
        <v>0</v>
      </c>
      <c r="W38" s="19">
        <f t="shared" ref="W38:W49" si="79">SUM(I38:V38)</f>
        <v>1225000</v>
      </c>
      <c r="X38" s="21"/>
      <c r="Z38" s="174">
        <v>44013</v>
      </c>
      <c r="AA38" s="172">
        <f t="shared" ref="AA38:AA49" si="80">EDATE(Z38,1)</f>
        <v>44044</v>
      </c>
      <c r="AB38" s="40"/>
      <c r="AC38" s="40"/>
      <c r="AD38" s="40"/>
      <c r="AE38" s="40"/>
      <c r="AF38" s="19">
        <v>0</v>
      </c>
      <c r="AG38" s="19">
        <f>IF(AND($AA$38&gt;AG2,$AA$38&lt;=AG18),1,0)*AG16</f>
        <v>0</v>
      </c>
      <c r="AH38" s="19">
        <f t="shared" ref="AH38:AS38" si="81">IF(AND($AA$38&gt;AH2,$AA$38&lt;=AH18),1,0)*AH16</f>
        <v>1225000</v>
      </c>
      <c r="AI38" s="19">
        <f t="shared" si="81"/>
        <v>0</v>
      </c>
      <c r="AJ38" s="19">
        <f t="shared" si="81"/>
        <v>0</v>
      </c>
      <c r="AK38" s="19">
        <f t="shared" si="81"/>
        <v>0</v>
      </c>
      <c r="AL38" s="19">
        <f t="shared" si="81"/>
        <v>0</v>
      </c>
      <c r="AM38" s="19">
        <f t="shared" si="81"/>
        <v>0</v>
      </c>
      <c r="AN38" s="19">
        <f t="shared" si="81"/>
        <v>0</v>
      </c>
      <c r="AO38" s="19">
        <f t="shared" si="81"/>
        <v>0</v>
      </c>
      <c r="AP38" s="19">
        <f t="shared" si="81"/>
        <v>0</v>
      </c>
      <c r="AQ38" s="19">
        <f t="shared" si="81"/>
        <v>0</v>
      </c>
      <c r="AR38" s="19">
        <f t="shared" si="81"/>
        <v>0</v>
      </c>
      <c r="AS38" s="19">
        <f t="shared" si="81"/>
        <v>0</v>
      </c>
      <c r="AT38" s="19">
        <f t="shared" ref="AT38:AT49" si="82">SUM(AF38:AS38)</f>
        <v>1225000</v>
      </c>
      <c r="AU38" s="21"/>
    </row>
    <row r="39" spans="3:47" s="7" customFormat="1" ht="15.75" x14ac:dyDescent="0.25">
      <c r="C39" s="174">
        <v>44044</v>
      </c>
      <c r="D39" s="172">
        <f t="shared" si="78"/>
        <v>44075</v>
      </c>
      <c r="E39" s="40"/>
      <c r="F39" s="40"/>
      <c r="G39" s="40"/>
      <c r="H39" s="40"/>
      <c r="I39" s="19">
        <v>0</v>
      </c>
      <c r="J39" s="19">
        <f t="shared" si="64"/>
        <v>0</v>
      </c>
      <c r="K39" s="19">
        <f t="shared" si="65"/>
        <v>0</v>
      </c>
      <c r="L39" s="19">
        <f t="shared" si="66"/>
        <v>1225000</v>
      </c>
      <c r="M39" s="19">
        <f t="shared" si="67"/>
        <v>0</v>
      </c>
      <c r="N39" s="19">
        <f t="shared" si="68"/>
        <v>0</v>
      </c>
      <c r="O39" s="19">
        <f t="shared" si="69"/>
        <v>0</v>
      </c>
      <c r="P39" s="19">
        <f t="shared" si="70"/>
        <v>0</v>
      </c>
      <c r="Q39" s="19">
        <f t="shared" si="71"/>
        <v>0</v>
      </c>
      <c r="R39" s="19">
        <f t="shared" si="72"/>
        <v>0</v>
      </c>
      <c r="S39" s="19">
        <f t="shared" si="73"/>
        <v>0</v>
      </c>
      <c r="T39" s="19">
        <f t="shared" si="74"/>
        <v>0</v>
      </c>
      <c r="U39" s="19">
        <f t="shared" si="75"/>
        <v>0</v>
      </c>
      <c r="V39" s="19">
        <f t="shared" si="76"/>
        <v>0</v>
      </c>
      <c r="W39" s="19">
        <f t="shared" si="79"/>
        <v>1225000</v>
      </c>
      <c r="X39" s="21"/>
      <c r="Z39" s="174">
        <v>44044</v>
      </c>
      <c r="AA39" s="172">
        <f t="shared" si="80"/>
        <v>44075</v>
      </c>
      <c r="AB39" s="40"/>
      <c r="AC39" s="40"/>
      <c r="AD39" s="40"/>
      <c r="AE39" s="40"/>
      <c r="AF39" s="19">
        <v>0</v>
      </c>
      <c r="AG39" s="19">
        <f>IF(AND($AA$39&gt;AG2,$AA$39&lt;=AG18),1,0)*AG16</f>
        <v>0</v>
      </c>
      <c r="AH39" s="19">
        <f t="shared" ref="AH39:AS39" si="83">IF(AND($AA$39&gt;AH2,$AA$39&lt;=AH18),1,0)*AH16</f>
        <v>0</v>
      </c>
      <c r="AI39" s="19">
        <f t="shared" si="83"/>
        <v>1225000</v>
      </c>
      <c r="AJ39" s="19">
        <f t="shared" si="83"/>
        <v>0</v>
      </c>
      <c r="AK39" s="19">
        <f t="shared" si="83"/>
        <v>0</v>
      </c>
      <c r="AL39" s="19">
        <f t="shared" si="83"/>
        <v>0</v>
      </c>
      <c r="AM39" s="19">
        <f t="shared" si="83"/>
        <v>0</v>
      </c>
      <c r="AN39" s="19">
        <f t="shared" si="83"/>
        <v>0</v>
      </c>
      <c r="AO39" s="19">
        <f t="shared" si="83"/>
        <v>0</v>
      </c>
      <c r="AP39" s="19">
        <f t="shared" si="83"/>
        <v>0</v>
      </c>
      <c r="AQ39" s="19">
        <f t="shared" si="83"/>
        <v>0</v>
      </c>
      <c r="AR39" s="19">
        <f t="shared" si="83"/>
        <v>0</v>
      </c>
      <c r="AS39" s="19">
        <f t="shared" si="83"/>
        <v>0</v>
      </c>
      <c r="AT39" s="19">
        <f t="shared" si="82"/>
        <v>1225000</v>
      </c>
      <c r="AU39" s="21"/>
    </row>
    <row r="40" spans="3:47" s="7" customFormat="1" ht="15.75" x14ac:dyDescent="0.25">
      <c r="C40" s="174">
        <v>44075</v>
      </c>
      <c r="D40" s="172">
        <f t="shared" si="78"/>
        <v>44105</v>
      </c>
      <c r="E40" s="40"/>
      <c r="F40" s="40"/>
      <c r="G40" s="40"/>
      <c r="H40" s="40"/>
      <c r="I40" s="19">
        <v>0</v>
      </c>
      <c r="J40" s="19">
        <f t="shared" si="64"/>
        <v>0</v>
      </c>
      <c r="K40" s="19">
        <f t="shared" si="65"/>
        <v>0</v>
      </c>
      <c r="L40" s="19">
        <f t="shared" si="66"/>
        <v>0</v>
      </c>
      <c r="M40" s="19">
        <f t="shared" si="67"/>
        <v>1225000</v>
      </c>
      <c r="N40" s="19">
        <f t="shared" si="68"/>
        <v>0</v>
      </c>
      <c r="O40" s="19">
        <f t="shared" si="69"/>
        <v>0</v>
      </c>
      <c r="P40" s="19">
        <f t="shared" si="70"/>
        <v>0</v>
      </c>
      <c r="Q40" s="19">
        <f t="shared" si="71"/>
        <v>0</v>
      </c>
      <c r="R40" s="19">
        <f t="shared" si="72"/>
        <v>0</v>
      </c>
      <c r="S40" s="19">
        <f t="shared" si="73"/>
        <v>0</v>
      </c>
      <c r="T40" s="19">
        <f t="shared" si="74"/>
        <v>0</v>
      </c>
      <c r="U40" s="19">
        <f t="shared" si="75"/>
        <v>0</v>
      </c>
      <c r="V40" s="19">
        <f t="shared" si="76"/>
        <v>0</v>
      </c>
      <c r="W40" s="19">
        <f t="shared" si="79"/>
        <v>1225000</v>
      </c>
      <c r="X40" s="21"/>
      <c r="Z40" s="174">
        <v>44075</v>
      </c>
      <c r="AA40" s="172">
        <f t="shared" si="80"/>
        <v>44105</v>
      </c>
      <c r="AB40" s="40"/>
      <c r="AC40" s="40"/>
      <c r="AD40" s="40"/>
      <c r="AE40" s="40"/>
      <c r="AF40" s="19">
        <v>0</v>
      </c>
      <c r="AG40" s="19">
        <f>IF(AND($AA$40&gt;AG2,$AA$40&lt;=AG18),1,0)*AG16</f>
        <v>0</v>
      </c>
      <c r="AH40" s="19">
        <f t="shared" ref="AH40:AS40" si="84">IF(AND($AA$40&gt;AH2,$AA$40&lt;=AH18),1,0)*AH16</f>
        <v>0</v>
      </c>
      <c r="AI40" s="19">
        <f t="shared" si="84"/>
        <v>0</v>
      </c>
      <c r="AJ40" s="19">
        <f t="shared" si="84"/>
        <v>1225000</v>
      </c>
      <c r="AK40" s="19">
        <f t="shared" si="84"/>
        <v>0</v>
      </c>
      <c r="AL40" s="19">
        <f t="shared" si="84"/>
        <v>0</v>
      </c>
      <c r="AM40" s="19">
        <f t="shared" si="84"/>
        <v>0</v>
      </c>
      <c r="AN40" s="19">
        <f t="shared" si="84"/>
        <v>0</v>
      </c>
      <c r="AO40" s="19">
        <f t="shared" si="84"/>
        <v>0</v>
      </c>
      <c r="AP40" s="19">
        <f t="shared" si="84"/>
        <v>0</v>
      </c>
      <c r="AQ40" s="19">
        <f t="shared" si="84"/>
        <v>0</v>
      </c>
      <c r="AR40" s="19">
        <f t="shared" si="84"/>
        <v>0</v>
      </c>
      <c r="AS40" s="19">
        <f t="shared" si="84"/>
        <v>0</v>
      </c>
      <c r="AT40" s="19">
        <f t="shared" si="82"/>
        <v>1225000</v>
      </c>
      <c r="AU40" s="21"/>
    </row>
    <row r="41" spans="3:47" s="7" customFormat="1" ht="15.75" x14ac:dyDescent="0.25">
      <c r="C41" s="174">
        <v>44105</v>
      </c>
      <c r="D41" s="172">
        <f t="shared" si="78"/>
        <v>44136</v>
      </c>
      <c r="E41" s="40"/>
      <c r="F41" s="40"/>
      <c r="G41" s="40"/>
      <c r="H41" s="40"/>
      <c r="I41" s="19">
        <v>0</v>
      </c>
      <c r="J41" s="19">
        <f t="shared" si="64"/>
        <v>0</v>
      </c>
      <c r="K41" s="19">
        <f t="shared" si="65"/>
        <v>0</v>
      </c>
      <c r="L41" s="19">
        <f t="shared" si="66"/>
        <v>0</v>
      </c>
      <c r="M41" s="19">
        <f t="shared" si="67"/>
        <v>0</v>
      </c>
      <c r="N41" s="19">
        <f t="shared" si="68"/>
        <v>1225000</v>
      </c>
      <c r="O41" s="19">
        <f t="shared" si="69"/>
        <v>0</v>
      </c>
      <c r="P41" s="19">
        <f t="shared" si="70"/>
        <v>0</v>
      </c>
      <c r="Q41" s="19">
        <f t="shared" si="71"/>
        <v>0</v>
      </c>
      <c r="R41" s="19">
        <f t="shared" si="72"/>
        <v>0</v>
      </c>
      <c r="S41" s="19">
        <f t="shared" si="73"/>
        <v>0</v>
      </c>
      <c r="T41" s="19">
        <f t="shared" si="74"/>
        <v>0</v>
      </c>
      <c r="U41" s="19">
        <f t="shared" si="75"/>
        <v>0</v>
      </c>
      <c r="V41" s="19">
        <f t="shared" si="76"/>
        <v>0</v>
      </c>
      <c r="W41" s="19">
        <f t="shared" si="79"/>
        <v>1225000</v>
      </c>
      <c r="X41" s="21"/>
      <c r="Z41" s="174">
        <v>44105</v>
      </c>
      <c r="AA41" s="172">
        <f t="shared" si="80"/>
        <v>44136</v>
      </c>
      <c r="AB41" s="40"/>
      <c r="AC41" s="40"/>
      <c r="AD41" s="40"/>
      <c r="AE41" s="40"/>
      <c r="AF41" s="19">
        <v>0</v>
      </c>
      <c r="AG41" s="19">
        <f>IF(AND($AA$41&gt;AG2,$AA$41&lt;=AG18),1,0)*AG16</f>
        <v>0</v>
      </c>
      <c r="AH41" s="19">
        <f t="shared" ref="AH41:AS41" si="85">IF(AND($AA$41&gt;AH2,$AA$41&lt;=AH18),1,0)*AH16</f>
        <v>0</v>
      </c>
      <c r="AI41" s="19">
        <f t="shared" si="85"/>
        <v>0</v>
      </c>
      <c r="AJ41" s="19">
        <f t="shared" si="85"/>
        <v>0</v>
      </c>
      <c r="AK41" s="19">
        <f t="shared" si="85"/>
        <v>1225000</v>
      </c>
      <c r="AL41" s="19">
        <f t="shared" si="85"/>
        <v>0</v>
      </c>
      <c r="AM41" s="19">
        <f t="shared" si="85"/>
        <v>0</v>
      </c>
      <c r="AN41" s="19">
        <f t="shared" si="85"/>
        <v>0</v>
      </c>
      <c r="AO41" s="19">
        <f t="shared" si="85"/>
        <v>0</v>
      </c>
      <c r="AP41" s="19">
        <f t="shared" si="85"/>
        <v>0</v>
      </c>
      <c r="AQ41" s="19">
        <f t="shared" si="85"/>
        <v>0</v>
      </c>
      <c r="AR41" s="19">
        <f t="shared" si="85"/>
        <v>0</v>
      </c>
      <c r="AS41" s="19">
        <f t="shared" si="85"/>
        <v>0</v>
      </c>
      <c r="AT41" s="19">
        <f t="shared" si="82"/>
        <v>1225000</v>
      </c>
      <c r="AU41" s="21"/>
    </row>
    <row r="42" spans="3:47" s="7" customFormat="1" ht="15.75" x14ac:dyDescent="0.25">
      <c r="C42" s="174">
        <v>44136</v>
      </c>
      <c r="D42" s="172">
        <f t="shared" si="78"/>
        <v>44166</v>
      </c>
      <c r="E42" s="40"/>
      <c r="F42" s="40"/>
      <c r="G42" s="40"/>
      <c r="H42" s="40"/>
      <c r="I42" s="19">
        <v>0</v>
      </c>
      <c r="J42" s="19">
        <f t="shared" si="64"/>
        <v>0</v>
      </c>
      <c r="K42" s="19">
        <f t="shared" si="65"/>
        <v>0</v>
      </c>
      <c r="L42" s="19">
        <f t="shared" si="66"/>
        <v>0</v>
      </c>
      <c r="M42" s="19">
        <f t="shared" si="67"/>
        <v>0</v>
      </c>
      <c r="N42" s="19">
        <f t="shared" si="68"/>
        <v>0</v>
      </c>
      <c r="O42" s="19">
        <f t="shared" si="69"/>
        <v>1225000</v>
      </c>
      <c r="P42" s="19">
        <f t="shared" si="70"/>
        <v>0</v>
      </c>
      <c r="Q42" s="19">
        <f t="shared" si="71"/>
        <v>0</v>
      </c>
      <c r="R42" s="19">
        <f t="shared" si="72"/>
        <v>0</v>
      </c>
      <c r="S42" s="19">
        <f t="shared" si="73"/>
        <v>0</v>
      </c>
      <c r="T42" s="19">
        <f t="shared" si="74"/>
        <v>0</v>
      </c>
      <c r="U42" s="19">
        <f t="shared" si="75"/>
        <v>0</v>
      </c>
      <c r="V42" s="19">
        <f t="shared" si="76"/>
        <v>0</v>
      </c>
      <c r="W42" s="19">
        <f t="shared" si="79"/>
        <v>1225000</v>
      </c>
      <c r="X42" s="21"/>
      <c r="Z42" s="174">
        <v>44136</v>
      </c>
      <c r="AA42" s="172">
        <f t="shared" si="80"/>
        <v>44166</v>
      </c>
      <c r="AB42" s="40"/>
      <c r="AC42" s="40"/>
      <c r="AD42" s="40"/>
      <c r="AE42" s="40"/>
      <c r="AF42" s="19">
        <v>0</v>
      </c>
      <c r="AG42" s="19">
        <f>IF(AND($AA$42&gt;AG2,$AA$42&lt;=AG18),1,0)*AG16</f>
        <v>0</v>
      </c>
      <c r="AH42" s="19">
        <f t="shared" ref="AH42:AS42" si="86">IF(AND($AA$42&gt;AH2,$AA$42&lt;=AH18),1,0)*AH16</f>
        <v>0</v>
      </c>
      <c r="AI42" s="19">
        <f t="shared" si="86"/>
        <v>0</v>
      </c>
      <c r="AJ42" s="19">
        <f t="shared" si="86"/>
        <v>0</v>
      </c>
      <c r="AK42" s="19">
        <f t="shared" si="86"/>
        <v>0</v>
      </c>
      <c r="AL42" s="19">
        <f t="shared" si="86"/>
        <v>1225000</v>
      </c>
      <c r="AM42" s="19">
        <f t="shared" si="86"/>
        <v>0</v>
      </c>
      <c r="AN42" s="19">
        <f t="shared" si="86"/>
        <v>0</v>
      </c>
      <c r="AO42" s="19">
        <f t="shared" si="86"/>
        <v>0</v>
      </c>
      <c r="AP42" s="19">
        <f t="shared" si="86"/>
        <v>0</v>
      </c>
      <c r="AQ42" s="19">
        <f t="shared" si="86"/>
        <v>0</v>
      </c>
      <c r="AR42" s="19">
        <f t="shared" si="86"/>
        <v>0</v>
      </c>
      <c r="AS42" s="19">
        <f t="shared" si="86"/>
        <v>0</v>
      </c>
      <c r="AT42" s="19">
        <f t="shared" si="82"/>
        <v>1225000</v>
      </c>
      <c r="AU42" s="21"/>
    </row>
    <row r="43" spans="3:47" s="7" customFormat="1" ht="15.75" x14ac:dyDescent="0.25">
      <c r="C43" s="174">
        <v>44166</v>
      </c>
      <c r="D43" s="172">
        <f t="shared" si="78"/>
        <v>44197</v>
      </c>
      <c r="E43" s="150"/>
      <c r="F43" s="40"/>
      <c r="G43" s="40"/>
      <c r="H43" s="40"/>
      <c r="I43" s="19">
        <v>0</v>
      </c>
      <c r="J43" s="19">
        <f t="shared" si="64"/>
        <v>0</v>
      </c>
      <c r="K43" s="19">
        <f t="shared" si="65"/>
        <v>0</v>
      </c>
      <c r="L43" s="19">
        <f t="shared" si="66"/>
        <v>0</v>
      </c>
      <c r="M43" s="19">
        <f t="shared" si="67"/>
        <v>0</v>
      </c>
      <c r="N43" s="19">
        <f t="shared" si="68"/>
        <v>0</v>
      </c>
      <c r="O43" s="19">
        <f t="shared" si="69"/>
        <v>0</v>
      </c>
      <c r="P43" s="19">
        <f t="shared" si="70"/>
        <v>1470000</v>
      </c>
      <c r="Q43" s="19">
        <f t="shared" si="71"/>
        <v>0</v>
      </c>
      <c r="R43" s="19">
        <f t="shared" si="72"/>
        <v>0</v>
      </c>
      <c r="S43" s="19">
        <f t="shared" si="73"/>
        <v>0</v>
      </c>
      <c r="T43" s="19">
        <f t="shared" si="74"/>
        <v>0</v>
      </c>
      <c r="U43" s="19">
        <f t="shared" si="75"/>
        <v>0</v>
      </c>
      <c r="V43" s="19">
        <f t="shared" si="76"/>
        <v>0</v>
      </c>
      <c r="W43" s="19">
        <f t="shared" si="79"/>
        <v>1470000</v>
      </c>
      <c r="X43" s="21"/>
      <c r="Z43" s="174">
        <v>44166</v>
      </c>
      <c r="AA43" s="172">
        <f t="shared" si="80"/>
        <v>44197</v>
      </c>
      <c r="AB43" s="150"/>
      <c r="AC43" s="40"/>
      <c r="AD43" s="40"/>
      <c r="AE43" s="40"/>
      <c r="AF43" s="19">
        <v>0</v>
      </c>
      <c r="AG43" s="19">
        <f>IF(AND($AA$43&gt;AG2,$AA$43&lt;=AG18),1,0)*AG16</f>
        <v>0</v>
      </c>
      <c r="AH43" s="19">
        <f t="shared" ref="AH43:AS43" si="87">IF(AND($AA$43&gt;AH2,$AA$43&lt;=AH18),1,0)*AH16</f>
        <v>0</v>
      </c>
      <c r="AI43" s="19">
        <f t="shared" si="87"/>
        <v>0</v>
      </c>
      <c r="AJ43" s="19">
        <f t="shared" si="87"/>
        <v>0</v>
      </c>
      <c r="AK43" s="19">
        <f t="shared" si="87"/>
        <v>0</v>
      </c>
      <c r="AL43" s="19">
        <f t="shared" si="87"/>
        <v>0</v>
      </c>
      <c r="AM43" s="19">
        <f t="shared" si="87"/>
        <v>1470000</v>
      </c>
      <c r="AN43" s="19">
        <f t="shared" si="87"/>
        <v>0</v>
      </c>
      <c r="AO43" s="19">
        <f t="shared" si="87"/>
        <v>0</v>
      </c>
      <c r="AP43" s="19">
        <f t="shared" si="87"/>
        <v>0</v>
      </c>
      <c r="AQ43" s="19">
        <f t="shared" si="87"/>
        <v>0</v>
      </c>
      <c r="AR43" s="19">
        <f t="shared" si="87"/>
        <v>0</v>
      </c>
      <c r="AS43" s="19">
        <f t="shared" si="87"/>
        <v>0</v>
      </c>
      <c r="AT43" s="19">
        <f t="shared" si="82"/>
        <v>1470000</v>
      </c>
      <c r="AU43" s="21"/>
    </row>
    <row r="44" spans="3:47" s="7" customFormat="1" ht="15.75" x14ac:dyDescent="0.25">
      <c r="C44" s="174">
        <v>44197</v>
      </c>
      <c r="D44" s="172">
        <f t="shared" si="78"/>
        <v>44228</v>
      </c>
      <c r="E44" s="150"/>
      <c r="F44" s="40"/>
      <c r="G44" s="40"/>
      <c r="H44" s="40"/>
      <c r="I44" s="19">
        <v>0</v>
      </c>
      <c r="J44" s="19">
        <f t="shared" si="64"/>
        <v>0</v>
      </c>
      <c r="K44" s="19">
        <f t="shared" si="65"/>
        <v>0</v>
      </c>
      <c r="L44" s="19">
        <f t="shared" si="66"/>
        <v>0</v>
      </c>
      <c r="M44" s="19">
        <f t="shared" si="67"/>
        <v>0</v>
      </c>
      <c r="N44" s="19">
        <f t="shared" si="68"/>
        <v>0</v>
      </c>
      <c r="O44" s="19">
        <f t="shared" si="69"/>
        <v>0</v>
      </c>
      <c r="P44" s="19">
        <f t="shared" si="70"/>
        <v>0</v>
      </c>
      <c r="Q44" s="19">
        <f t="shared" si="71"/>
        <v>1715000</v>
      </c>
      <c r="R44" s="19">
        <f t="shared" si="72"/>
        <v>0</v>
      </c>
      <c r="S44" s="19">
        <f t="shared" si="73"/>
        <v>0</v>
      </c>
      <c r="T44" s="19">
        <f t="shared" si="74"/>
        <v>0</v>
      </c>
      <c r="U44" s="19">
        <f t="shared" si="75"/>
        <v>0</v>
      </c>
      <c r="V44" s="19">
        <f t="shared" si="76"/>
        <v>0</v>
      </c>
      <c r="W44" s="19">
        <f t="shared" si="79"/>
        <v>1715000</v>
      </c>
      <c r="X44" s="21"/>
      <c r="Z44" s="174">
        <v>44197</v>
      </c>
      <c r="AA44" s="172">
        <f t="shared" si="80"/>
        <v>44228</v>
      </c>
      <c r="AB44" s="150"/>
      <c r="AC44" s="40"/>
      <c r="AD44" s="40"/>
      <c r="AE44" s="40"/>
      <c r="AF44" s="19">
        <v>0</v>
      </c>
      <c r="AG44" s="19">
        <f>IF(AND($AA$44&gt;AG2,$AA$44&lt;=AG18),1,0)*AG16</f>
        <v>0</v>
      </c>
      <c r="AH44" s="19">
        <f t="shared" ref="AH44:AS44" si="88">IF(AND($AA$44&gt;AH2,$AA$44&lt;=AH18),1,0)*AH16</f>
        <v>0</v>
      </c>
      <c r="AI44" s="19">
        <f t="shared" si="88"/>
        <v>0</v>
      </c>
      <c r="AJ44" s="19">
        <f t="shared" si="88"/>
        <v>0</v>
      </c>
      <c r="AK44" s="19">
        <f t="shared" si="88"/>
        <v>0</v>
      </c>
      <c r="AL44" s="19">
        <f t="shared" si="88"/>
        <v>0</v>
      </c>
      <c r="AM44" s="19">
        <f t="shared" si="88"/>
        <v>0</v>
      </c>
      <c r="AN44" s="19">
        <f t="shared" si="88"/>
        <v>1715000</v>
      </c>
      <c r="AO44" s="19">
        <f t="shared" si="88"/>
        <v>0</v>
      </c>
      <c r="AP44" s="19">
        <f t="shared" si="88"/>
        <v>0</v>
      </c>
      <c r="AQ44" s="19">
        <f t="shared" si="88"/>
        <v>0</v>
      </c>
      <c r="AR44" s="19">
        <f t="shared" si="88"/>
        <v>0</v>
      </c>
      <c r="AS44" s="19">
        <f t="shared" si="88"/>
        <v>0</v>
      </c>
      <c r="AT44" s="19">
        <f t="shared" si="82"/>
        <v>1715000</v>
      </c>
      <c r="AU44" s="21"/>
    </row>
    <row r="45" spans="3:47" s="7" customFormat="1" ht="15.75" x14ac:dyDescent="0.25">
      <c r="C45" s="174">
        <v>44228</v>
      </c>
      <c r="D45" s="172">
        <f t="shared" si="78"/>
        <v>44256</v>
      </c>
      <c r="E45" s="150"/>
      <c r="F45" s="40"/>
      <c r="G45" s="40"/>
      <c r="H45" s="40"/>
      <c r="I45" s="19">
        <v>0</v>
      </c>
      <c r="J45" s="19">
        <f t="shared" si="64"/>
        <v>0</v>
      </c>
      <c r="K45" s="19">
        <f t="shared" si="65"/>
        <v>0</v>
      </c>
      <c r="L45" s="19">
        <f t="shared" si="66"/>
        <v>0</v>
      </c>
      <c r="M45" s="19">
        <f t="shared" si="67"/>
        <v>0</v>
      </c>
      <c r="N45" s="19">
        <f t="shared" si="68"/>
        <v>0</v>
      </c>
      <c r="O45" s="19">
        <f t="shared" si="69"/>
        <v>0</v>
      </c>
      <c r="P45" s="19">
        <f t="shared" si="70"/>
        <v>0</v>
      </c>
      <c r="Q45" s="19">
        <f t="shared" si="71"/>
        <v>0</v>
      </c>
      <c r="R45" s="19">
        <f t="shared" si="72"/>
        <v>980000</v>
      </c>
      <c r="S45" s="19">
        <f t="shared" si="73"/>
        <v>0</v>
      </c>
      <c r="T45" s="19">
        <f t="shared" si="74"/>
        <v>0</v>
      </c>
      <c r="U45" s="19">
        <f t="shared" si="75"/>
        <v>0</v>
      </c>
      <c r="V45" s="19">
        <f t="shared" si="76"/>
        <v>0</v>
      </c>
      <c r="W45" s="19">
        <f t="shared" si="79"/>
        <v>980000</v>
      </c>
      <c r="X45" s="21"/>
      <c r="Z45" s="174">
        <v>44228</v>
      </c>
      <c r="AA45" s="172">
        <f t="shared" si="80"/>
        <v>44256</v>
      </c>
      <c r="AB45" s="150"/>
      <c r="AC45" s="40"/>
      <c r="AD45" s="40"/>
      <c r="AE45" s="40"/>
      <c r="AF45" s="19">
        <v>0</v>
      </c>
      <c r="AG45" s="19">
        <f>IF(AND($AA$45&gt;AG2,$AA$45&lt;=AG18),1,0)*AG16</f>
        <v>0</v>
      </c>
      <c r="AH45" s="19">
        <f t="shared" ref="AH45:AS45" si="89">IF(AND($AA$45&gt;AH2,$AA$45&lt;=AH18),1,0)*AH16</f>
        <v>0</v>
      </c>
      <c r="AI45" s="19">
        <f t="shared" si="89"/>
        <v>0</v>
      </c>
      <c r="AJ45" s="19">
        <f t="shared" si="89"/>
        <v>0</v>
      </c>
      <c r="AK45" s="19">
        <f t="shared" si="89"/>
        <v>0</v>
      </c>
      <c r="AL45" s="19">
        <f t="shared" si="89"/>
        <v>0</v>
      </c>
      <c r="AM45" s="19">
        <f t="shared" si="89"/>
        <v>0</v>
      </c>
      <c r="AN45" s="19">
        <f t="shared" si="89"/>
        <v>0</v>
      </c>
      <c r="AO45" s="19">
        <f t="shared" si="89"/>
        <v>980000</v>
      </c>
      <c r="AP45" s="19">
        <f t="shared" si="89"/>
        <v>0</v>
      </c>
      <c r="AQ45" s="19">
        <f t="shared" si="89"/>
        <v>0</v>
      </c>
      <c r="AR45" s="19">
        <f t="shared" si="89"/>
        <v>0</v>
      </c>
      <c r="AS45" s="19">
        <f t="shared" si="89"/>
        <v>0</v>
      </c>
      <c r="AT45" s="19">
        <f t="shared" si="82"/>
        <v>980000</v>
      </c>
      <c r="AU45" s="21"/>
    </row>
    <row r="46" spans="3:47" s="7" customFormat="1" ht="15.75" x14ac:dyDescent="0.25">
      <c r="C46" s="174">
        <v>44256</v>
      </c>
      <c r="D46" s="172">
        <f t="shared" si="78"/>
        <v>44287</v>
      </c>
      <c r="E46" s="150"/>
      <c r="F46" s="40"/>
      <c r="G46" s="40"/>
      <c r="H46" s="40"/>
      <c r="I46" s="19">
        <v>0</v>
      </c>
      <c r="J46" s="19">
        <f t="shared" si="64"/>
        <v>0</v>
      </c>
      <c r="K46" s="19">
        <f t="shared" si="65"/>
        <v>0</v>
      </c>
      <c r="L46" s="19">
        <f t="shared" si="66"/>
        <v>0</v>
      </c>
      <c r="M46" s="19">
        <f t="shared" si="67"/>
        <v>0</v>
      </c>
      <c r="N46" s="19">
        <f t="shared" si="68"/>
        <v>0</v>
      </c>
      <c r="O46" s="19">
        <f t="shared" si="69"/>
        <v>0</v>
      </c>
      <c r="P46" s="19">
        <f t="shared" si="70"/>
        <v>0</v>
      </c>
      <c r="Q46" s="19">
        <f t="shared" si="71"/>
        <v>0</v>
      </c>
      <c r="R46" s="19">
        <f t="shared" si="72"/>
        <v>0</v>
      </c>
      <c r="S46" s="19">
        <f t="shared" si="73"/>
        <v>1715000</v>
      </c>
      <c r="T46" s="19">
        <f t="shared" si="74"/>
        <v>0</v>
      </c>
      <c r="U46" s="19">
        <f t="shared" si="75"/>
        <v>0</v>
      </c>
      <c r="V46" s="19">
        <f t="shared" si="76"/>
        <v>0</v>
      </c>
      <c r="W46" s="19">
        <f t="shared" si="79"/>
        <v>1715000</v>
      </c>
      <c r="X46" s="21"/>
      <c r="Z46" s="174">
        <v>44256</v>
      </c>
      <c r="AA46" s="172">
        <f t="shared" si="80"/>
        <v>44287</v>
      </c>
      <c r="AB46" s="150"/>
      <c r="AC46" s="40"/>
      <c r="AD46" s="40"/>
      <c r="AE46" s="40"/>
      <c r="AF46" s="19">
        <v>0</v>
      </c>
      <c r="AG46" s="19">
        <f>IF(AND($AA$46&gt;AG2,$AA$46&lt;=AG18),1,0)*AG16</f>
        <v>0</v>
      </c>
      <c r="AH46" s="19">
        <f t="shared" ref="AH46:AS46" si="90">IF(AND($AA$46&gt;AH2,$AA$46&lt;=AH18),1,0)*AH16</f>
        <v>0</v>
      </c>
      <c r="AI46" s="19">
        <f t="shared" si="90"/>
        <v>0</v>
      </c>
      <c r="AJ46" s="19">
        <f t="shared" si="90"/>
        <v>0</v>
      </c>
      <c r="AK46" s="19">
        <f t="shared" si="90"/>
        <v>0</v>
      </c>
      <c r="AL46" s="19">
        <f t="shared" si="90"/>
        <v>0</v>
      </c>
      <c r="AM46" s="19">
        <f t="shared" si="90"/>
        <v>0</v>
      </c>
      <c r="AN46" s="19">
        <f t="shared" si="90"/>
        <v>0</v>
      </c>
      <c r="AO46" s="19">
        <f t="shared" si="90"/>
        <v>0</v>
      </c>
      <c r="AP46" s="19">
        <f t="shared" si="90"/>
        <v>1715000</v>
      </c>
      <c r="AQ46" s="19">
        <f t="shared" si="90"/>
        <v>0</v>
      </c>
      <c r="AR46" s="19">
        <f t="shared" si="90"/>
        <v>0</v>
      </c>
      <c r="AS46" s="19">
        <f t="shared" si="90"/>
        <v>0</v>
      </c>
      <c r="AT46" s="19">
        <f t="shared" si="82"/>
        <v>1715000</v>
      </c>
      <c r="AU46" s="21"/>
    </row>
    <row r="47" spans="3:47" s="7" customFormat="1" ht="15.75" x14ac:dyDescent="0.25">
      <c r="C47" s="174">
        <v>44287</v>
      </c>
      <c r="D47" s="172">
        <f t="shared" si="78"/>
        <v>44317</v>
      </c>
      <c r="E47" s="150"/>
      <c r="F47" s="40"/>
      <c r="G47" s="40"/>
      <c r="H47" s="40"/>
      <c r="I47" s="19">
        <v>0</v>
      </c>
      <c r="J47" s="19">
        <f t="shared" si="64"/>
        <v>0</v>
      </c>
      <c r="K47" s="19">
        <f t="shared" si="65"/>
        <v>0</v>
      </c>
      <c r="L47" s="19">
        <f t="shared" si="66"/>
        <v>0</v>
      </c>
      <c r="M47" s="19">
        <f t="shared" si="67"/>
        <v>0</v>
      </c>
      <c r="N47" s="19">
        <f t="shared" si="68"/>
        <v>0</v>
      </c>
      <c r="O47" s="19">
        <f t="shared" si="69"/>
        <v>0</v>
      </c>
      <c r="P47" s="19">
        <f t="shared" si="70"/>
        <v>0</v>
      </c>
      <c r="Q47" s="19">
        <f t="shared" si="71"/>
        <v>0</v>
      </c>
      <c r="R47" s="19">
        <f t="shared" si="72"/>
        <v>0</v>
      </c>
      <c r="S47" s="19">
        <f t="shared" si="73"/>
        <v>0</v>
      </c>
      <c r="T47" s="19">
        <f t="shared" si="74"/>
        <v>1960000</v>
      </c>
      <c r="U47" s="19">
        <f t="shared" si="75"/>
        <v>0</v>
      </c>
      <c r="V47" s="19">
        <f t="shared" si="76"/>
        <v>0</v>
      </c>
      <c r="W47" s="19">
        <f t="shared" si="79"/>
        <v>1960000</v>
      </c>
      <c r="X47" s="21"/>
      <c r="Z47" s="174">
        <v>44287</v>
      </c>
      <c r="AA47" s="172">
        <f t="shared" si="80"/>
        <v>44317</v>
      </c>
      <c r="AB47" s="150"/>
      <c r="AC47" s="40"/>
      <c r="AD47" s="40"/>
      <c r="AE47" s="40"/>
      <c r="AF47" s="19">
        <v>0</v>
      </c>
      <c r="AG47" s="19">
        <f>IF(AND($AA$47&gt;AG2,$AA$47&lt;=AG18),1,0)*AG16</f>
        <v>0</v>
      </c>
      <c r="AH47" s="19">
        <f t="shared" ref="AH47:AS47" si="91">IF(AND($AA$47&gt;AH2,$AA$47&lt;=AH18),1,0)*AH16</f>
        <v>0</v>
      </c>
      <c r="AI47" s="19">
        <f t="shared" si="91"/>
        <v>0</v>
      </c>
      <c r="AJ47" s="19">
        <f t="shared" si="91"/>
        <v>0</v>
      </c>
      <c r="AK47" s="19">
        <f t="shared" si="91"/>
        <v>0</v>
      </c>
      <c r="AL47" s="19">
        <f t="shared" si="91"/>
        <v>0</v>
      </c>
      <c r="AM47" s="19">
        <f t="shared" si="91"/>
        <v>0</v>
      </c>
      <c r="AN47" s="19">
        <f t="shared" si="91"/>
        <v>0</v>
      </c>
      <c r="AO47" s="19">
        <f t="shared" si="91"/>
        <v>0</v>
      </c>
      <c r="AP47" s="19">
        <f t="shared" si="91"/>
        <v>0</v>
      </c>
      <c r="AQ47" s="19">
        <f t="shared" si="91"/>
        <v>1960000</v>
      </c>
      <c r="AR47" s="19">
        <f t="shared" si="91"/>
        <v>0</v>
      </c>
      <c r="AS47" s="19">
        <f t="shared" si="91"/>
        <v>0</v>
      </c>
      <c r="AT47" s="19">
        <f t="shared" si="82"/>
        <v>1960000</v>
      </c>
      <c r="AU47" s="21"/>
    </row>
    <row r="48" spans="3:47" s="7" customFormat="1" ht="15.75" x14ac:dyDescent="0.25">
      <c r="C48" s="174">
        <v>44317</v>
      </c>
      <c r="D48" s="172">
        <f t="shared" si="78"/>
        <v>44348</v>
      </c>
      <c r="E48" s="150"/>
      <c r="F48" s="40"/>
      <c r="G48" s="40"/>
      <c r="H48" s="40"/>
      <c r="I48" s="19">
        <v>0</v>
      </c>
      <c r="J48" s="19">
        <f t="shared" si="64"/>
        <v>0</v>
      </c>
      <c r="K48" s="19">
        <f t="shared" si="65"/>
        <v>0</v>
      </c>
      <c r="L48" s="19">
        <f t="shared" si="66"/>
        <v>0</v>
      </c>
      <c r="M48" s="19">
        <f t="shared" si="67"/>
        <v>0</v>
      </c>
      <c r="N48" s="19">
        <f t="shared" si="68"/>
        <v>0</v>
      </c>
      <c r="O48" s="19">
        <f t="shared" si="69"/>
        <v>0</v>
      </c>
      <c r="P48" s="19">
        <f t="shared" si="70"/>
        <v>0</v>
      </c>
      <c r="Q48" s="19">
        <f t="shared" si="71"/>
        <v>0</v>
      </c>
      <c r="R48" s="19">
        <f t="shared" si="72"/>
        <v>0</v>
      </c>
      <c r="S48" s="19">
        <f t="shared" si="73"/>
        <v>0</v>
      </c>
      <c r="T48" s="19">
        <f t="shared" si="74"/>
        <v>0</v>
      </c>
      <c r="U48" s="19">
        <f t="shared" si="75"/>
        <v>2205000</v>
      </c>
      <c r="V48" s="19">
        <f t="shared" si="76"/>
        <v>0</v>
      </c>
      <c r="W48" s="19">
        <f t="shared" si="79"/>
        <v>2205000</v>
      </c>
      <c r="X48" s="21"/>
      <c r="Z48" s="174">
        <v>44317</v>
      </c>
      <c r="AA48" s="172">
        <f t="shared" si="80"/>
        <v>44348</v>
      </c>
      <c r="AB48" s="150"/>
      <c r="AC48" s="40"/>
      <c r="AD48" s="40"/>
      <c r="AE48" s="40"/>
      <c r="AF48" s="19">
        <v>0</v>
      </c>
      <c r="AG48" s="19">
        <f>IF(AND($AA$48&gt;AG2,$AA$48&lt;=AG18),1,0)*AG16</f>
        <v>0</v>
      </c>
      <c r="AH48" s="19">
        <f t="shared" ref="AH48:AS48" si="92">IF(AND($AA$48&gt;AH2,$AA$48&lt;=AH18),1,0)*AH16</f>
        <v>0</v>
      </c>
      <c r="AI48" s="19">
        <f t="shared" si="92"/>
        <v>0</v>
      </c>
      <c r="AJ48" s="19">
        <f t="shared" si="92"/>
        <v>0</v>
      </c>
      <c r="AK48" s="19">
        <f t="shared" si="92"/>
        <v>0</v>
      </c>
      <c r="AL48" s="19">
        <f t="shared" si="92"/>
        <v>0</v>
      </c>
      <c r="AM48" s="19">
        <f t="shared" si="92"/>
        <v>0</v>
      </c>
      <c r="AN48" s="19">
        <f t="shared" si="92"/>
        <v>0</v>
      </c>
      <c r="AO48" s="19">
        <f t="shared" si="92"/>
        <v>0</v>
      </c>
      <c r="AP48" s="19">
        <f t="shared" si="92"/>
        <v>0</v>
      </c>
      <c r="AQ48" s="19">
        <f t="shared" si="92"/>
        <v>0</v>
      </c>
      <c r="AR48" s="19">
        <f t="shared" si="92"/>
        <v>2205000</v>
      </c>
      <c r="AS48" s="19">
        <f t="shared" si="92"/>
        <v>0</v>
      </c>
      <c r="AT48" s="19">
        <f t="shared" si="82"/>
        <v>2205000</v>
      </c>
      <c r="AU48" s="21"/>
    </row>
    <row r="49" spans="3:47" s="7" customFormat="1" ht="15.75" x14ac:dyDescent="0.25">
      <c r="C49" s="174">
        <v>44348</v>
      </c>
      <c r="D49" s="172">
        <f t="shared" si="78"/>
        <v>44378</v>
      </c>
      <c r="E49" s="150"/>
      <c r="F49" s="40"/>
      <c r="G49" s="40"/>
      <c r="H49" s="40"/>
      <c r="I49" s="19">
        <v>0</v>
      </c>
      <c r="J49" s="19">
        <f t="shared" si="64"/>
        <v>0</v>
      </c>
      <c r="K49" s="19">
        <f t="shared" si="65"/>
        <v>0</v>
      </c>
      <c r="L49" s="19">
        <f t="shared" si="66"/>
        <v>0</v>
      </c>
      <c r="M49" s="19">
        <f t="shared" si="67"/>
        <v>0</v>
      </c>
      <c r="N49" s="19">
        <f t="shared" si="68"/>
        <v>0</v>
      </c>
      <c r="O49" s="19">
        <f t="shared" si="69"/>
        <v>0</v>
      </c>
      <c r="P49" s="19">
        <f t="shared" si="70"/>
        <v>0</v>
      </c>
      <c r="Q49" s="19">
        <f t="shared" si="71"/>
        <v>0</v>
      </c>
      <c r="R49" s="19">
        <f t="shared" si="72"/>
        <v>0</v>
      </c>
      <c r="S49" s="19">
        <f t="shared" si="73"/>
        <v>0</v>
      </c>
      <c r="T49" s="19">
        <f t="shared" si="74"/>
        <v>0</v>
      </c>
      <c r="U49" s="19">
        <f t="shared" si="75"/>
        <v>0</v>
      </c>
      <c r="V49" s="19">
        <f t="shared" si="76"/>
        <v>2450000</v>
      </c>
      <c r="W49" s="19">
        <f t="shared" si="79"/>
        <v>2450000</v>
      </c>
      <c r="X49" s="21"/>
      <c r="Z49" s="174">
        <v>44348</v>
      </c>
      <c r="AA49" s="172">
        <f t="shared" si="80"/>
        <v>44378</v>
      </c>
      <c r="AB49" s="150"/>
      <c r="AC49" s="40"/>
      <c r="AD49" s="40"/>
      <c r="AE49" s="40"/>
      <c r="AF49" s="19">
        <v>0</v>
      </c>
      <c r="AG49" s="19">
        <f>IF(AND($AA$49&gt;AG2,$AA$49&lt;=AG18),1,0)*AG16</f>
        <v>0</v>
      </c>
      <c r="AH49" s="19">
        <f t="shared" ref="AH49:AS49" si="93">IF(AND($AA$49&gt;AH2,$AA$49&lt;=AH18),1,0)*AH16</f>
        <v>0</v>
      </c>
      <c r="AI49" s="19">
        <f t="shared" si="93"/>
        <v>0</v>
      </c>
      <c r="AJ49" s="19">
        <f t="shared" si="93"/>
        <v>0</v>
      </c>
      <c r="AK49" s="19">
        <f t="shared" si="93"/>
        <v>0</v>
      </c>
      <c r="AL49" s="19">
        <f t="shared" si="93"/>
        <v>0</v>
      </c>
      <c r="AM49" s="19">
        <f t="shared" si="93"/>
        <v>0</v>
      </c>
      <c r="AN49" s="19">
        <f t="shared" si="93"/>
        <v>0</v>
      </c>
      <c r="AO49" s="19">
        <f t="shared" si="93"/>
        <v>0</v>
      </c>
      <c r="AP49" s="19">
        <f t="shared" si="93"/>
        <v>0</v>
      </c>
      <c r="AQ49" s="19">
        <f t="shared" si="93"/>
        <v>0</v>
      </c>
      <c r="AR49" s="19">
        <f t="shared" si="93"/>
        <v>0</v>
      </c>
      <c r="AS49" s="19">
        <f t="shared" si="93"/>
        <v>2450000</v>
      </c>
      <c r="AT49" s="19">
        <f t="shared" si="82"/>
        <v>2450000</v>
      </c>
      <c r="AU49" s="21"/>
    </row>
    <row r="50" spans="3:47" s="7" customFormat="1" ht="15.75" x14ac:dyDescent="0.25">
      <c r="C50" s="23"/>
      <c r="D50" s="150"/>
      <c r="E50" s="150"/>
      <c r="F50" s="40"/>
      <c r="G50" s="40"/>
      <c r="H50" s="40"/>
      <c r="V50" s="19"/>
      <c r="W50" s="19"/>
      <c r="X50" s="21"/>
      <c r="Z50" s="23"/>
      <c r="AA50" s="150"/>
      <c r="AB50" s="150"/>
      <c r="AC50" s="40"/>
      <c r="AD50" s="40"/>
      <c r="AE50" s="40"/>
      <c r="AS50" s="19"/>
      <c r="AT50" s="19"/>
      <c r="AU50" s="21"/>
    </row>
    <row r="51" spans="3:47" s="7" customFormat="1" ht="15.75" x14ac:dyDescent="0.25">
      <c r="C51" s="23" t="s">
        <v>192</v>
      </c>
      <c r="D51" s="150"/>
      <c r="E51" s="150"/>
      <c r="F51" s="40"/>
      <c r="G51" s="40"/>
      <c r="H51" s="40"/>
      <c r="I51" s="176">
        <v>0</v>
      </c>
      <c r="J51" s="177">
        <v>30</v>
      </c>
      <c r="K51" s="177">
        <v>60</v>
      </c>
      <c r="L51" s="177">
        <v>90</v>
      </c>
      <c r="M51" s="177">
        <v>120</v>
      </c>
      <c r="N51" s="177">
        <v>150</v>
      </c>
      <c r="O51" s="177">
        <v>180</v>
      </c>
      <c r="P51" s="177">
        <v>210</v>
      </c>
      <c r="Q51" s="177">
        <v>240</v>
      </c>
      <c r="R51" s="177">
        <v>260</v>
      </c>
      <c r="S51" s="177">
        <v>290</v>
      </c>
      <c r="T51" s="177">
        <v>320</v>
      </c>
      <c r="U51" s="177">
        <v>360</v>
      </c>
      <c r="V51" s="19"/>
      <c r="W51" s="19"/>
      <c r="X51" s="21"/>
      <c r="Z51" s="23" t="s">
        <v>192</v>
      </c>
      <c r="AA51" s="150"/>
      <c r="AB51" s="150"/>
      <c r="AC51" s="40"/>
      <c r="AD51" s="40"/>
      <c r="AE51" s="40"/>
      <c r="AF51" s="176">
        <v>0</v>
      </c>
      <c r="AG51" s="177">
        <v>30</v>
      </c>
      <c r="AH51" s="177">
        <v>60</v>
      </c>
      <c r="AI51" s="177">
        <v>90</v>
      </c>
      <c r="AJ51" s="177">
        <v>120</v>
      </c>
      <c r="AK51" s="177">
        <v>150</v>
      </c>
      <c r="AL51" s="177">
        <v>180</v>
      </c>
      <c r="AM51" s="177">
        <v>210</v>
      </c>
      <c r="AN51" s="177">
        <v>240</v>
      </c>
      <c r="AO51" s="177">
        <v>260</v>
      </c>
      <c r="AP51" s="177">
        <v>290</v>
      </c>
      <c r="AQ51" s="177">
        <v>320</v>
      </c>
      <c r="AR51" s="177">
        <v>360</v>
      </c>
      <c r="AS51" s="19"/>
      <c r="AT51" s="19"/>
      <c r="AU51" s="21"/>
    </row>
    <row r="52" spans="3:47" s="7" customFormat="1" ht="18" x14ac:dyDescent="0.4">
      <c r="C52" s="174"/>
      <c r="D52" s="150"/>
      <c r="E52" s="150"/>
      <c r="F52" s="40"/>
      <c r="G52" s="40"/>
      <c r="H52" s="40"/>
      <c r="I52" s="179" t="s">
        <v>193</v>
      </c>
      <c r="J52" s="180" t="s">
        <v>175</v>
      </c>
      <c r="K52" s="180" t="s">
        <v>177</v>
      </c>
      <c r="L52" s="180" t="s">
        <v>178</v>
      </c>
      <c r="M52" s="180" t="s">
        <v>179</v>
      </c>
      <c r="N52" s="180" t="s">
        <v>180</v>
      </c>
      <c r="O52" s="180" t="s">
        <v>181</v>
      </c>
      <c r="P52" s="180" t="s">
        <v>182</v>
      </c>
      <c r="Q52" s="180" t="s">
        <v>183</v>
      </c>
      <c r="R52" s="180" t="s">
        <v>184</v>
      </c>
      <c r="S52" s="180" t="s">
        <v>185</v>
      </c>
      <c r="T52" s="180" t="s">
        <v>186</v>
      </c>
      <c r="U52" s="180" t="s">
        <v>187</v>
      </c>
      <c r="V52" s="19"/>
      <c r="W52" s="19"/>
      <c r="X52" s="21"/>
      <c r="Z52" s="174"/>
      <c r="AA52" s="150"/>
      <c r="AB52" s="150"/>
      <c r="AC52" s="40"/>
      <c r="AD52" s="40"/>
      <c r="AE52" s="40"/>
      <c r="AF52" s="179" t="s">
        <v>193</v>
      </c>
      <c r="AG52" s="180" t="s">
        <v>175</v>
      </c>
      <c r="AH52" s="180" t="s">
        <v>177</v>
      </c>
      <c r="AI52" s="180" t="s">
        <v>178</v>
      </c>
      <c r="AJ52" s="180" t="s">
        <v>179</v>
      </c>
      <c r="AK52" s="180" t="s">
        <v>180</v>
      </c>
      <c r="AL52" s="180" t="s">
        <v>181</v>
      </c>
      <c r="AM52" s="180" t="s">
        <v>182</v>
      </c>
      <c r="AN52" s="180" t="s">
        <v>183</v>
      </c>
      <c r="AO52" s="180" t="s">
        <v>184</v>
      </c>
      <c r="AP52" s="180" t="s">
        <v>185</v>
      </c>
      <c r="AQ52" s="180" t="s">
        <v>186</v>
      </c>
      <c r="AR52" s="180" t="s">
        <v>187</v>
      </c>
      <c r="AS52" s="19"/>
      <c r="AT52" s="19"/>
      <c r="AU52" s="21"/>
    </row>
    <row r="53" spans="3:47" s="7" customFormat="1" ht="15.75" x14ac:dyDescent="0.25">
      <c r="C53" s="174">
        <f t="array" ref="C53:C65">TRANSPOSE(J2:V2)</f>
        <v>43983</v>
      </c>
      <c r="D53" s="150"/>
      <c r="E53" s="150"/>
      <c r="F53" s="40"/>
      <c r="G53" s="40"/>
      <c r="H53" s="40"/>
      <c r="I53" s="19">
        <f t="array" ref="I53:I65">TRANSPOSE(J11:V11)</f>
        <v>400000</v>
      </c>
      <c r="J53" s="19">
        <f t="shared" ref="J53:U53" ca="1" si="94">IF(J2&gt;$C$53,0,OFFSET($I$37,0,MAX((ROUND(($C$53-J2)/30+1,0)),0)))</f>
        <v>1225000</v>
      </c>
      <c r="K53" s="19">
        <f t="shared" ca="1" si="94"/>
        <v>0</v>
      </c>
      <c r="L53" s="19">
        <f t="shared" ca="1" si="94"/>
        <v>0</v>
      </c>
      <c r="M53" s="19">
        <f t="shared" ca="1" si="94"/>
        <v>0</v>
      </c>
      <c r="N53" s="19">
        <f t="shared" ca="1" si="94"/>
        <v>0</v>
      </c>
      <c r="O53" s="19">
        <f t="shared" ca="1" si="94"/>
        <v>0</v>
      </c>
      <c r="P53" s="19">
        <f t="shared" ca="1" si="94"/>
        <v>0</v>
      </c>
      <c r="Q53" s="19">
        <f t="shared" ca="1" si="94"/>
        <v>0</v>
      </c>
      <c r="R53" s="19">
        <f t="shared" ca="1" si="94"/>
        <v>0</v>
      </c>
      <c r="S53" s="19">
        <f t="shared" ca="1" si="94"/>
        <v>0</v>
      </c>
      <c r="T53" s="19">
        <f t="shared" ca="1" si="94"/>
        <v>0</v>
      </c>
      <c r="U53" s="19">
        <f t="shared" ca="1" si="94"/>
        <v>0</v>
      </c>
      <c r="V53" s="19"/>
      <c r="W53" s="19"/>
      <c r="X53" s="21"/>
      <c r="Z53" s="174">
        <f t="array" ref="Z53:Z65">TRANSPOSE(AG2:AS2)</f>
        <v>43983</v>
      </c>
      <c r="AA53" s="150"/>
      <c r="AB53" s="150"/>
      <c r="AC53" s="40"/>
      <c r="AD53" s="40"/>
      <c r="AE53" s="40"/>
      <c r="AF53" s="19">
        <f t="array" ref="AF53:AF65">TRANSPOSE(AG11:AS11)</f>
        <v>0</v>
      </c>
      <c r="AG53" s="19">
        <f ca="1">IF(AG2&gt;$Z$53,0,OFFSET($AF$37,0,MAX((ROUND(($Z$53-AG2)/30+1,0)),0)))</f>
        <v>1225000</v>
      </c>
      <c r="AH53" s="19">
        <f t="shared" ref="AH53:AR53" ca="1" si="95">IF(AH2&gt;$Z$53,0,OFFSET($AF$37,0,MAX((ROUND(($Z$53-AH2)/30+1,0)),0)))</f>
        <v>0</v>
      </c>
      <c r="AI53" s="19">
        <f t="shared" ca="1" si="95"/>
        <v>0</v>
      </c>
      <c r="AJ53" s="19">
        <f t="shared" ca="1" si="95"/>
        <v>0</v>
      </c>
      <c r="AK53" s="19">
        <f t="shared" ca="1" si="95"/>
        <v>0</v>
      </c>
      <c r="AL53" s="19">
        <f t="shared" ca="1" si="95"/>
        <v>0</v>
      </c>
      <c r="AM53" s="19">
        <f t="shared" ca="1" si="95"/>
        <v>0</v>
      </c>
      <c r="AN53" s="19">
        <f t="shared" ca="1" si="95"/>
        <v>0</v>
      </c>
      <c r="AO53" s="19">
        <f t="shared" ca="1" si="95"/>
        <v>0</v>
      </c>
      <c r="AP53" s="19">
        <f t="shared" ca="1" si="95"/>
        <v>0</v>
      </c>
      <c r="AQ53" s="19">
        <f t="shared" ca="1" si="95"/>
        <v>0</v>
      </c>
      <c r="AR53" s="19">
        <f t="shared" ca="1" si="95"/>
        <v>0</v>
      </c>
      <c r="AS53" s="19"/>
      <c r="AT53" s="19"/>
      <c r="AU53" s="21"/>
    </row>
    <row r="54" spans="3:47" s="7" customFormat="1" ht="15.75" x14ac:dyDescent="0.25">
      <c r="C54" s="174">
        <v>44013</v>
      </c>
      <c r="D54" s="150"/>
      <c r="E54" s="150"/>
      <c r="F54" s="40"/>
      <c r="G54" s="40"/>
      <c r="H54" s="40"/>
      <c r="I54" s="19">
        <v>0</v>
      </c>
      <c r="J54" s="19">
        <f t="shared" ref="J54:U54" ca="1" si="96">IF(J2&gt;$C$54,0,OFFSET($I$38,0,MAX((ROUND(($C$54-J2)/30+1,0)),0)))</f>
        <v>1225000</v>
      </c>
      <c r="K54" s="19">
        <f t="shared" ca="1" si="96"/>
        <v>0</v>
      </c>
      <c r="L54" s="19">
        <f t="shared" ca="1" si="96"/>
        <v>0</v>
      </c>
      <c r="M54" s="19">
        <f t="shared" ca="1" si="96"/>
        <v>0</v>
      </c>
      <c r="N54" s="19">
        <f t="shared" ca="1" si="96"/>
        <v>0</v>
      </c>
      <c r="O54" s="19">
        <f t="shared" ca="1" si="96"/>
        <v>0</v>
      </c>
      <c r="P54" s="19">
        <f t="shared" ca="1" si="96"/>
        <v>0</v>
      </c>
      <c r="Q54" s="19">
        <f t="shared" ca="1" si="96"/>
        <v>0</v>
      </c>
      <c r="R54" s="19">
        <f t="shared" ca="1" si="96"/>
        <v>0</v>
      </c>
      <c r="S54" s="19">
        <f t="shared" ca="1" si="96"/>
        <v>0</v>
      </c>
      <c r="T54" s="19">
        <f t="shared" ca="1" si="96"/>
        <v>0</v>
      </c>
      <c r="U54" s="19">
        <f t="shared" ca="1" si="96"/>
        <v>0</v>
      </c>
      <c r="V54" s="19"/>
      <c r="W54" s="19"/>
      <c r="X54" s="21"/>
      <c r="Z54" s="174">
        <v>44013</v>
      </c>
      <c r="AA54" s="150"/>
      <c r="AB54" s="150"/>
      <c r="AC54" s="40"/>
      <c r="AD54" s="40"/>
      <c r="AE54" s="40"/>
      <c r="AF54" s="19">
        <v>0</v>
      </c>
      <c r="AG54" s="19">
        <f ca="1">IF(AG2&gt;$Z$54,0,OFFSET($AF$38,0,MAX((ROUND(($Z$54-AG2)/30+1,0)),0)))</f>
        <v>1225000</v>
      </c>
      <c r="AH54" s="19">
        <f t="shared" ref="AH54:AR54" ca="1" si="97">IF(AH2&gt;$Z$54,0,OFFSET($AF$38,0,MAX((ROUND(($Z$54-AH2)/30+1,0)),0)))</f>
        <v>0</v>
      </c>
      <c r="AI54" s="19">
        <f t="shared" ca="1" si="97"/>
        <v>0</v>
      </c>
      <c r="AJ54" s="19">
        <f t="shared" ca="1" si="97"/>
        <v>0</v>
      </c>
      <c r="AK54" s="19">
        <f t="shared" ca="1" si="97"/>
        <v>0</v>
      </c>
      <c r="AL54" s="19">
        <f t="shared" ca="1" si="97"/>
        <v>0</v>
      </c>
      <c r="AM54" s="19">
        <f t="shared" ca="1" si="97"/>
        <v>0</v>
      </c>
      <c r="AN54" s="19">
        <f t="shared" ca="1" si="97"/>
        <v>0</v>
      </c>
      <c r="AO54" s="19">
        <f t="shared" ca="1" si="97"/>
        <v>0</v>
      </c>
      <c r="AP54" s="19">
        <f t="shared" ca="1" si="97"/>
        <v>0</v>
      </c>
      <c r="AQ54" s="19">
        <f t="shared" ca="1" si="97"/>
        <v>0</v>
      </c>
      <c r="AR54" s="19">
        <f t="shared" ca="1" si="97"/>
        <v>0</v>
      </c>
      <c r="AS54" s="19"/>
      <c r="AT54" s="19"/>
      <c r="AU54" s="21"/>
    </row>
    <row r="55" spans="3:47" s="7" customFormat="1" ht="15.75" x14ac:dyDescent="0.25">
      <c r="C55" s="174">
        <v>44044</v>
      </c>
      <c r="D55" s="150"/>
      <c r="E55" s="150"/>
      <c r="F55" s="40"/>
      <c r="G55" s="40"/>
      <c r="H55" s="40"/>
      <c r="I55" s="19">
        <v>0</v>
      </c>
      <c r="J55" s="19">
        <f t="shared" ref="J55:U55" ca="1" si="98">IF(J2&gt;$C$55,0,OFFSET($I$39,0,MAX((ROUND(($C$55-J2)/30+1,0)),0)))</f>
        <v>1225000</v>
      </c>
      <c r="K55" s="19">
        <f t="shared" ca="1" si="98"/>
        <v>0</v>
      </c>
      <c r="L55" s="19">
        <f t="shared" ca="1" si="98"/>
        <v>0</v>
      </c>
      <c r="M55" s="19">
        <f t="shared" ca="1" si="98"/>
        <v>0</v>
      </c>
      <c r="N55" s="19">
        <f t="shared" ca="1" si="98"/>
        <v>0</v>
      </c>
      <c r="O55" s="19">
        <f t="shared" ca="1" si="98"/>
        <v>0</v>
      </c>
      <c r="P55" s="19">
        <f t="shared" ca="1" si="98"/>
        <v>0</v>
      </c>
      <c r="Q55" s="19">
        <f t="shared" ca="1" si="98"/>
        <v>0</v>
      </c>
      <c r="R55" s="19">
        <f t="shared" ca="1" si="98"/>
        <v>0</v>
      </c>
      <c r="S55" s="19">
        <f t="shared" ca="1" si="98"/>
        <v>0</v>
      </c>
      <c r="T55" s="19">
        <f t="shared" ca="1" si="98"/>
        <v>0</v>
      </c>
      <c r="U55" s="19">
        <f t="shared" ca="1" si="98"/>
        <v>0</v>
      </c>
      <c r="V55" s="19"/>
      <c r="W55" s="19"/>
      <c r="X55" s="21"/>
      <c r="Z55" s="174">
        <v>44044</v>
      </c>
      <c r="AA55" s="150"/>
      <c r="AB55" s="150"/>
      <c r="AC55" s="40"/>
      <c r="AD55" s="40"/>
      <c r="AE55" s="40"/>
      <c r="AF55" s="19">
        <v>0</v>
      </c>
      <c r="AG55" s="19">
        <f ca="1">IF(AG2&gt;$Z$55,0,OFFSET($AF$39,0,MAX((ROUND(($Z$55-AG2)/30+1,0)),0)))</f>
        <v>1225000</v>
      </c>
      <c r="AH55" s="19">
        <f t="shared" ref="AH55:AR55" ca="1" si="99">IF(AH2&gt;$Z$55,0,OFFSET($AF$39,0,MAX((ROUND(($Z$55-AH2)/30+1,0)),0)))</f>
        <v>0</v>
      </c>
      <c r="AI55" s="19">
        <f t="shared" ca="1" si="99"/>
        <v>0</v>
      </c>
      <c r="AJ55" s="19">
        <f t="shared" ca="1" si="99"/>
        <v>0</v>
      </c>
      <c r="AK55" s="19">
        <f t="shared" ca="1" si="99"/>
        <v>0</v>
      </c>
      <c r="AL55" s="19">
        <f t="shared" ca="1" si="99"/>
        <v>0</v>
      </c>
      <c r="AM55" s="19">
        <f t="shared" ca="1" si="99"/>
        <v>0</v>
      </c>
      <c r="AN55" s="19">
        <f t="shared" ca="1" si="99"/>
        <v>0</v>
      </c>
      <c r="AO55" s="19">
        <f t="shared" ca="1" si="99"/>
        <v>0</v>
      </c>
      <c r="AP55" s="19">
        <f t="shared" ca="1" si="99"/>
        <v>0</v>
      </c>
      <c r="AQ55" s="19">
        <f t="shared" ca="1" si="99"/>
        <v>0</v>
      </c>
      <c r="AR55" s="19">
        <f t="shared" ca="1" si="99"/>
        <v>0</v>
      </c>
      <c r="AS55" s="19"/>
      <c r="AT55" s="19"/>
      <c r="AU55" s="21"/>
    </row>
    <row r="56" spans="3:47" s="7" customFormat="1" ht="15.75" x14ac:dyDescent="0.25">
      <c r="C56" s="174">
        <v>44075</v>
      </c>
      <c r="D56" s="150"/>
      <c r="E56" s="150"/>
      <c r="F56" s="40"/>
      <c r="G56" s="40"/>
      <c r="H56" s="40"/>
      <c r="I56" s="19">
        <v>0</v>
      </c>
      <c r="J56" s="19">
        <f t="shared" ref="J56:U56" ca="1" si="100">IF(J2&gt;$C$56,0,OFFSET($I$40,0,MAX((ROUND(($C$56-J2)/30+1,0)),0)))</f>
        <v>1225000</v>
      </c>
      <c r="K56" s="19">
        <f t="shared" ca="1" si="100"/>
        <v>0</v>
      </c>
      <c r="L56" s="19">
        <f t="shared" ca="1" si="100"/>
        <v>0</v>
      </c>
      <c r="M56" s="19">
        <f t="shared" ca="1" si="100"/>
        <v>0</v>
      </c>
      <c r="N56" s="19">
        <f t="shared" ca="1" si="100"/>
        <v>0</v>
      </c>
      <c r="O56" s="19">
        <f t="shared" ca="1" si="100"/>
        <v>0</v>
      </c>
      <c r="P56" s="19">
        <f t="shared" ca="1" si="100"/>
        <v>0</v>
      </c>
      <c r="Q56" s="19">
        <f t="shared" ca="1" si="100"/>
        <v>0</v>
      </c>
      <c r="R56" s="19">
        <f t="shared" ca="1" si="100"/>
        <v>0</v>
      </c>
      <c r="S56" s="19">
        <f t="shared" ca="1" si="100"/>
        <v>0</v>
      </c>
      <c r="T56" s="19">
        <f t="shared" ca="1" si="100"/>
        <v>0</v>
      </c>
      <c r="U56" s="19">
        <f t="shared" ca="1" si="100"/>
        <v>0</v>
      </c>
      <c r="V56" s="19"/>
      <c r="W56" s="19"/>
      <c r="X56" s="21"/>
      <c r="Z56" s="174">
        <v>44075</v>
      </c>
      <c r="AA56" s="150"/>
      <c r="AB56" s="150"/>
      <c r="AC56" s="40"/>
      <c r="AD56" s="40"/>
      <c r="AE56" s="40"/>
      <c r="AF56" s="19">
        <v>0</v>
      </c>
      <c r="AG56" s="19">
        <f ca="1">IF(AG2&gt;$Z$56,0,OFFSET($AF$40,0,MAX((ROUND(($Z$56-AG2)/30+1,0)),0)))</f>
        <v>1225000</v>
      </c>
      <c r="AH56" s="19">
        <f t="shared" ref="AH56:AR56" ca="1" si="101">IF(AH2&gt;$Z$56,0,OFFSET($AF$40,0,MAX((ROUND(($Z$56-AH2)/30+1,0)),0)))</f>
        <v>0</v>
      </c>
      <c r="AI56" s="19">
        <f t="shared" ca="1" si="101"/>
        <v>0</v>
      </c>
      <c r="AJ56" s="19">
        <f t="shared" ca="1" si="101"/>
        <v>0</v>
      </c>
      <c r="AK56" s="19">
        <f t="shared" ca="1" si="101"/>
        <v>0</v>
      </c>
      <c r="AL56" s="19">
        <f t="shared" ca="1" si="101"/>
        <v>0</v>
      </c>
      <c r="AM56" s="19">
        <f t="shared" ca="1" si="101"/>
        <v>0</v>
      </c>
      <c r="AN56" s="19">
        <f t="shared" ca="1" si="101"/>
        <v>0</v>
      </c>
      <c r="AO56" s="19">
        <f t="shared" ca="1" si="101"/>
        <v>0</v>
      </c>
      <c r="AP56" s="19">
        <f t="shared" ca="1" si="101"/>
        <v>0</v>
      </c>
      <c r="AQ56" s="19">
        <f t="shared" ca="1" si="101"/>
        <v>0</v>
      </c>
      <c r="AR56" s="19">
        <f t="shared" ca="1" si="101"/>
        <v>0</v>
      </c>
      <c r="AS56" s="19"/>
      <c r="AT56" s="19"/>
      <c r="AU56" s="21"/>
    </row>
    <row r="57" spans="3:47" s="7" customFormat="1" ht="15.75" x14ac:dyDescent="0.25">
      <c r="C57" s="174">
        <v>44105</v>
      </c>
      <c r="D57" s="150"/>
      <c r="E57" s="150"/>
      <c r="F57" s="40"/>
      <c r="G57" s="40"/>
      <c r="H57" s="40"/>
      <c r="I57" s="19">
        <v>0</v>
      </c>
      <c r="J57" s="19">
        <f t="shared" ref="J57:U57" ca="1" si="102">IF(J2&gt;$C$57,0,OFFSET($I$41,0,MAX((ROUND(($C$57-J2)/30+1,0)),0)))</f>
        <v>1225000</v>
      </c>
      <c r="K57" s="19">
        <f t="shared" ca="1" si="102"/>
        <v>0</v>
      </c>
      <c r="L57" s="19">
        <f t="shared" ca="1" si="102"/>
        <v>0</v>
      </c>
      <c r="M57" s="19">
        <f t="shared" ca="1" si="102"/>
        <v>0</v>
      </c>
      <c r="N57" s="19">
        <f t="shared" ca="1" si="102"/>
        <v>0</v>
      </c>
      <c r="O57" s="19">
        <f t="shared" ca="1" si="102"/>
        <v>0</v>
      </c>
      <c r="P57" s="19">
        <f t="shared" ca="1" si="102"/>
        <v>0</v>
      </c>
      <c r="Q57" s="19">
        <f t="shared" ca="1" si="102"/>
        <v>0</v>
      </c>
      <c r="R57" s="19">
        <f t="shared" ca="1" si="102"/>
        <v>0</v>
      </c>
      <c r="S57" s="19">
        <f t="shared" ca="1" si="102"/>
        <v>0</v>
      </c>
      <c r="T57" s="19">
        <f t="shared" ca="1" si="102"/>
        <v>0</v>
      </c>
      <c r="U57" s="19">
        <f t="shared" ca="1" si="102"/>
        <v>0</v>
      </c>
      <c r="V57" s="19"/>
      <c r="W57" s="19"/>
      <c r="X57" s="21"/>
      <c r="Z57" s="174">
        <v>44105</v>
      </c>
      <c r="AA57" s="150"/>
      <c r="AB57" s="150"/>
      <c r="AC57" s="40"/>
      <c r="AD57" s="40"/>
      <c r="AE57" s="40"/>
      <c r="AF57" s="19">
        <v>0</v>
      </c>
      <c r="AG57" s="19">
        <f ca="1">IF(AG2&gt;$Z$57,0,OFFSET($AF$41,0,MAX((ROUND(($Z$57-AG2)/30+1,0)),0)))</f>
        <v>1225000</v>
      </c>
      <c r="AH57" s="19">
        <f t="shared" ref="AH57:AR57" ca="1" si="103">IF(AH2&gt;$Z$57,0,OFFSET($AF$41,0,MAX((ROUND(($Z$57-AH2)/30+1,0)),0)))</f>
        <v>0</v>
      </c>
      <c r="AI57" s="19">
        <f t="shared" ca="1" si="103"/>
        <v>0</v>
      </c>
      <c r="AJ57" s="19">
        <f t="shared" ca="1" si="103"/>
        <v>0</v>
      </c>
      <c r="AK57" s="19">
        <f t="shared" ca="1" si="103"/>
        <v>0</v>
      </c>
      <c r="AL57" s="19">
        <f t="shared" ca="1" si="103"/>
        <v>0</v>
      </c>
      <c r="AM57" s="19">
        <f t="shared" ca="1" si="103"/>
        <v>0</v>
      </c>
      <c r="AN57" s="19">
        <f t="shared" ca="1" si="103"/>
        <v>0</v>
      </c>
      <c r="AO57" s="19">
        <f t="shared" ca="1" si="103"/>
        <v>0</v>
      </c>
      <c r="AP57" s="19">
        <f t="shared" ca="1" si="103"/>
        <v>0</v>
      </c>
      <c r="AQ57" s="19">
        <f t="shared" ca="1" si="103"/>
        <v>0</v>
      </c>
      <c r="AR57" s="19">
        <f t="shared" ca="1" si="103"/>
        <v>0</v>
      </c>
      <c r="AS57" s="19"/>
      <c r="AT57" s="19"/>
      <c r="AU57" s="21"/>
    </row>
    <row r="58" spans="3:47" s="7" customFormat="1" ht="15.75" x14ac:dyDescent="0.25">
      <c r="C58" s="174">
        <v>44136</v>
      </c>
      <c r="D58" s="150"/>
      <c r="E58" s="150"/>
      <c r="F58" s="40"/>
      <c r="G58" s="40"/>
      <c r="H58" s="40"/>
      <c r="I58" s="19">
        <v>0</v>
      </c>
      <c r="J58" s="19">
        <f t="shared" ref="J58:U58" ca="1" si="104">IF(J2&gt;$C$58,0,OFFSET($I$42,0,MAX((ROUND(($C$58-J2)/30+1,0)),0)))</f>
        <v>1225000</v>
      </c>
      <c r="K58" s="19">
        <f t="shared" ca="1" si="104"/>
        <v>0</v>
      </c>
      <c r="L58" s="19">
        <f t="shared" ca="1" si="104"/>
        <v>0</v>
      </c>
      <c r="M58" s="19">
        <f t="shared" ca="1" si="104"/>
        <v>0</v>
      </c>
      <c r="N58" s="19">
        <f t="shared" ca="1" si="104"/>
        <v>0</v>
      </c>
      <c r="O58" s="19">
        <f t="shared" ca="1" si="104"/>
        <v>0</v>
      </c>
      <c r="P58" s="19">
        <f t="shared" ca="1" si="104"/>
        <v>0</v>
      </c>
      <c r="Q58" s="19">
        <f t="shared" ca="1" si="104"/>
        <v>0</v>
      </c>
      <c r="R58" s="19">
        <f t="shared" ca="1" si="104"/>
        <v>0</v>
      </c>
      <c r="S58" s="19">
        <f t="shared" ca="1" si="104"/>
        <v>0</v>
      </c>
      <c r="T58" s="19">
        <f t="shared" ca="1" si="104"/>
        <v>0</v>
      </c>
      <c r="U58" s="19">
        <f t="shared" ca="1" si="104"/>
        <v>0</v>
      </c>
      <c r="V58" s="19"/>
      <c r="W58" s="19"/>
      <c r="X58" s="21"/>
      <c r="Z58" s="174">
        <v>44136</v>
      </c>
      <c r="AA58" s="150"/>
      <c r="AB58" s="150"/>
      <c r="AC58" s="40"/>
      <c r="AD58" s="40"/>
      <c r="AE58" s="40"/>
      <c r="AF58" s="19">
        <v>0</v>
      </c>
      <c r="AG58" s="19">
        <f ca="1">IF(AG2&gt;$Z$58,0,OFFSET($AF$42,0,MAX((ROUND(($Z$58-AG2)/30+1,0)),0)))</f>
        <v>1225000</v>
      </c>
      <c r="AH58" s="19">
        <f t="shared" ref="AH58:AR58" ca="1" si="105">IF(AH2&gt;$Z$58,0,OFFSET($AF$42,0,MAX((ROUND(($Z$58-AH2)/30+1,0)),0)))</f>
        <v>0</v>
      </c>
      <c r="AI58" s="19">
        <f t="shared" ca="1" si="105"/>
        <v>0</v>
      </c>
      <c r="AJ58" s="19">
        <f t="shared" ca="1" si="105"/>
        <v>0</v>
      </c>
      <c r="AK58" s="19">
        <f t="shared" ca="1" si="105"/>
        <v>0</v>
      </c>
      <c r="AL58" s="19">
        <f t="shared" ca="1" si="105"/>
        <v>0</v>
      </c>
      <c r="AM58" s="19">
        <f t="shared" ca="1" si="105"/>
        <v>0</v>
      </c>
      <c r="AN58" s="19">
        <f t="shared" ca="1" si="105"/>
        <v>0</v>
      </c>
      <c r="AO58" s="19">
        <f t="shared" ca="1" si="105"/>
        <v>0</v>
      </c>
      <c r="AP58" s="19">
        <f t="shared" ca="1" si="105"/>
        <v>0</v>
      </c>
      <c r="AQ58" s="19">
        <f t="shared" ca="1" si="105"/>
        <v>0</v>
      </c>
      <c r="AR58" s="19">
        <f t="shared" ca="1" si="105"/>
        <v>0</v>
      </c>
      <c r="AS58" s="19"/>
      <c r="AT58" s="19"/>
      <c r="AU58" s="21"/>
    </row>
    <row r="59" spans="3:47" s="7" customFormat="1" ht="15.75" x14ac:dyDescent="0.25">
      <c r="C59" s="174">
        <v>44166</v>
      </c>
      <c r="D59" s="150"/>
      <c r="E59" s="150"/>
      <c r="F59" s="40"/>
      <c r="G59" s="40"/>
      <c r="H59" s="40"/>
      <c r="I59" s="19">
        <v>0</v>
      </c>
      <c r="J59" s="19">
        <f t="shared" ref="J59:U59" ca="1" si="106">IF(J2&gt;$C$59,0,OFFSET($I$43,0,MAX((ROUND(($C$59-J2)/30+1,0)),0)))</f>
        <v>1470000</v>
      </c>
      <c r="K59" s="19">
        <f t="shared" ca="1" si="106"/>
        <v>0</v>
      </c>
      <c r="L59" s="19">
        <f t="shared" ca="1" si="106"/>
        <v>0</v>
      </c>
      <c r="M59" s="19">
        <f t="shared" ca="1" si="106"/>
        <v>0</v>
      </c>
      <c r="N59" s="19">
        <f t="shared" ca="1" si="106"/>
        <v>0</v>
      </c>
      <c r="O59" s="19">
        <f t="shared" ca="1" si="106"/>
        <v>0</v>
      </c>
      <c r="P59" s="19">
        <f t="shared" ca="1" si="106"/>
        <v>0</v>
      </c>
      <c r="Q59" s="19">
        <f t="shared" ca="1" si="106"/>
        <v>0</v>
      </c>
      <c r="R59" s="19">
        <f t="shared" ca="1" si="106"/>
        <v>0</v>
      </c>
      <c r="S59" s="19">
        <f t="shared" ca="1" si="106"/>
        <v>0</v>
      </c>
      <c r="T59" s="19">
        <f t="shared" ca="1" si="106"/>
        <v>0</v>
      </c>
      <c r="U59" s="19">
        <f t="shared" ca="1" si="106"/>
        <v>0</v>
      </c>
      <c r="V59" s="19"/>
      <c r="W59" s="19"/>
      <c r="X59" s="21"/>
      <c r="Z59" s="174">
        <v>44166</v>
      </c>
      <c r="AA59" s="150"/>
      <c r="AB59" s="150"/>
      <c r="AC59" s="40"/>
      <c r="AD59" s="40"/>
      <c r="AE59" s="40"/>
      <c r="AF59" s="19">
        <v>0</v>
      </c>
      <c r="AG59" s="19">
        <f ca="1">IF(AG2&gt;$Z$59,0,OFFSET($AF$43,0,MAX((ROUND(($Z$59-AG2)/30+1,0)),0)))</f>
        <v>1470000</v>
      </c>
      <c r="AH59" s="19">
        <f t="shared" ref="AH59:AR59" ca="1" si="107">IF(AH2&gt;$Z$59,0,OFFSET($AF$43,0,MAX((ROUND(($Z$59-AH2)/30+1,0)),0)))</f>
        <v>0</v>
      </c>
      <c r="AI59" s="19">
        <f t="shared" ca="1" si="107"/>
        <v>0</v>
      </c>
      <c r="AJ59" s="19">
        <f t="shared" ca="1" si="107"/>
        <v>0</v>
      </c>
      <c r="AK59" s="19">
        <f t="shared" ca="1" si="107"/>
        <v>0</v>
      </c>
      <c r="AL59" s="19">
        <f t="shared" ca="1" si="107"/>
        <v>0</v>
      </c>
      <c r="AM59" s="19">
        <f t="shared" ca="1" si="107"/>
        <v>0</v>
      </c>
      <c r="AN59" s="19">
        <f t="shared" ca="1" si="107"/>
        <v>0</v>
      </c>
      <c r="AO59" s="19">
        <f t="shared" ca="1" si="107"/>
        <v>0</v>
      </c>
      <c r="AP59" s="19">
        <f t="shared" ca="1" si="107"/>
        <v>0</v>
      </c>
      <c r="AQ59" s="19">
        <f t="shared" ca="1" si="107"/>
        <v>0</v>
      </c>
      <c r="AR59" s="19">
        <f t="shared" ca="1" si="107"/>
        <v>0</v>
      </c>
      <c r="AS59" s="19"/>
      <c r="AT59" s="19"/>
      <c r="AU59" s="21"/>
    </row>
    <row r="60" spans="3:47" s="7" customFormat="1" ht="15.75" x14ac:dyDescent="0.25">
      <c r="C60" s="174">
        <v>44197</v>
      </c>
      <c r="D60" s="150"/>
      <c r="E60" s="150"/>
      <c r="F60" s="40"/>
      <c r="G60" s="40"/>
      <c r="H60" s="40"/>
      <c r="I60" s="19">
        <v>0</v>
      </c>
      <c r="J60" s="19">
        <f t="shared" ref="J60:U60" ca="1" si="108">IF(J2&gt;$C$60,0,OFFSET($I$44,0,MAX((ROUND(($C$60-J2)/30+1,0)),0)))</f>
        <v>1715000</v>
      </c>
      <c r="K60" s="19">
        <f t="shared" ca="1" si="108"/>
        <v>0</v>
      </c>
      <c r="L60" s="19">
        <f t="shared" ca="1" si="108"/>
        <v>0</v>
      </c>
      <c r="M60" s="19">
        <f t="shared" ca="1" si="108"/>
        <v>0</v>
      </c>
      <c r="N60" s="19">
        <f t="shared" ca="1" si="108"/>
        <v>0</v>
      </c>
      <c r="O60" s="19">
        <f t="shared" ca="1" si="108"/>
        <v>0</v>
      </c>
      <c r="P60" s="19">
        <f t="shared" ca="1" si="108"/>
        <v>0</v>
      </c>
      <c r="Q60" s="19">
        <f t="shared" ca="1" si="108"/>
        <v>0</v>
      </c>
      <c r="R60" s="19">
        <f t="shared" ca="1" si="108"/>
        <v>0</v>
      </c>
      <c r="S60" s="19">
        <f t="shared" ca="1" si="108"/>
        <v>0</v>
      </c>
      <c r="T60" s="19">
        <f t="shared" ca="1" si="108"/>
        <v>0</v>
      </c>
      <c r="U60" s="19">
        <f t="shared" ca="1" si="108"/>
        <v>0</v>
      </c>
      <c r="V60" s="19"/>
      <c r="W60" s="19"/>
      <c r="X60" s="21"/>
      <c r="Z60" s="174">
        <v>44197</v>
      </c>
      <c r="AA60" s="150"/>
      <c r="AB60" s="150"/>
      <c r="AC60" s="40"/>
      <c r="AD60" s="40"/>
      <c r="AE60" s="40"/>
      <c r="AF60" s="19">
        <v>0</v>
      </c>
      <c r="AG60" s="19">
        <f ca="1">IF(AG2&gt;$Z$60,0,OFFSET($AF$44,0,MAX((ROUND(($Z$60-AG2)/30+1,0)),0)))</f>
        <v>1715000</v>
      </c>
      <c r="AH60" s="19">
        <f t="shared" ref="AH60:AR60" ca="1" si="109">IF(AH2&gt;$Z$60,0,OFFSET($AF$44,0,MAX((ROUND(($Z$60-AH2)/30+1,0)),0)))</f>
        <v>0</v>
      </c>
      <c r="AI60" s="19">
        <f t="shared" ca="1" si="109"/>
        <v>0</v>
      </c>
      <c r="AJ60" s="19">
        <f t="shared" ca="1" si="109"/>
        <v>0</v>
      </c>
      <c r="AK60" s="19">
        <f t="shared" ca="1" si="109"/>
        <v>0</v>
      </c>
      <c r="AL60" s="19">
        <f t="shared" ca="1" si="109"/>
        <v>0</v>
      </c>
      <c r="AM60" s="19">
        <f t="shared" ca="1" si="109"/>
        <v>0</v>
      </c>
      <c r="AN60" s="19">
        <f t="shared" ca="1" si="109"/>
        <v>0</v>
      </c>
      <c r="AO60" s="19">
        <f t="shared" ca="1" si="109"/>
        <v>0</v>
      </c>
      <c r="AP60" s="19">
        <f t="shared" ca="1" si="109"/>
        <v>0</v>
      </c>
      <c r="AQ60" s="19">
        <f t="shared" ca="1" si="109"/>
        <v>0</v>
      </c>
      <c r="AR60" s="19">
        <f t="shared" ca="1" si="109"/>
        <v>0</v>
      </c>
      <c r="AS60" s="19"/>
      <c r="AT60" s="19"/>
      <c r="AU60" s="21"/>
    </row>
    <row r="61" spans="3:47" s="7" customFormat="1" ht="15.75" x14ac:dyDescent="0.25">
      <c r="C61" s="174">
        <v>44228</v>
      </c>
      <c r="D61" s="150"/>
      <c r="E61" s="150"/>
      <c r="F61" s="40"/>
      <c r="G61" s="40"/>
      <c r="H61" s="40"/>
      <c r="I61" s="19">
        <v>0</v>
      </c>
      <c r="J61" s="19">
        <f t="shared" ref="J61:U61" ca="1" si="110">IF(J2&gt;$C$61,0,OFFSET($I$45,0,MAX((ROUND(($C$61-J2)/30+1,0)),0)))</f>
        <v>980000</v>
      </c>
      <c r="K61" s="19">
        <f t="shared" ca="1" si="110"/>
        <v>0</v>
      </c>
      <c r="L61" s="19">
        <f t="shared" ca="1" si="110"/>
        <v>0</v>
      </c>
      <c r="M61" s="19">
        <f t="shared" ca="1" si="110"/>
        <v>0</v>
      </c>
      <c r="N61" s="19">
        <f t="shared" ca="1" si="110"/>
        <v>0</v>
      </c>
      <c r="O61" s="19">
        <f t="shared" ca="1" si="110"/>
        <v>0</v>
      </c>
      <c r="P61" s="19">
        <f t="shared" ca="1" si="110"/>
        <v>0</v>
      </c>
      <c r="Q61" s="19">
        <f t="shared" ca="1" si="110"/>
        <v>0</v>
      </c>
      <c r="R61" s="19">
        <f t="shared" ca="1" si="110"/>
        <v>0</v>
      </c>
      <c r="S61" s="19">
        <f t="shared" ca="1" si="110"/>
        <v>0</v>
      </c>
      <c r="T61" s="19">
        <f t="shared" ca="1" si="110"/>
        <v>0</v>
      </c>
      <c r="U61" s="19">
        <f t="shared" ca="1" si="110"/>
        <v>0</v>
      </c>
      <c r="V61" s="19"/>
      <c r="W61" s="19"/>
      <c r="X61" s="21"/>
      <c r="Z61" s="174">
        <v>44228</v>
      </c>
      <c r="AA61" s="150"/>
      <c r="AB61" s="150"/>
      <c r="AC61" s="40"/>
      <c r="AD61" s="40"/>
      <c r="AE61" s="40"/>
      <c r="AF61" s="19">
        <v>0</v>
      </c>
      <c r="AG61" s="19">
        <f ca="1">IF(AG2&gt;$Z$61,0,OFFSET($AF$45,0,MAX((ROUND(($Z$61-AG2)/30+1,0)),0)))</f>
        <v>980000</v>
      </c>
      <c r="AH61" s="19">
        <f t="shared" ref="AH61:AR61" ca="1" si="111">IF(AH2&gt;$Z$61,0,OFFSET($AF$45,0,MAX((ROUND(($Z$61-AH2)/30+1,0)),0)))</f>
        <v>0</v>
      </c>
      <c r="AI61" s="19">
        <f t="shared" ca="1" si="111"/>
        <v>0</v>
      </c>
      <c r="AJ61" s="19">
        <f t="shared" ca="1" si="111"/>
        <v>0</v>
      </c>
      <c r="AK61" s="19">
        <f t="shared" ca="1" si="111"/>
        <v>0</v>
      </c>
      <c r="AL61" s="19">
        <f t="shared" ca="1" si="111"/>
        <v>0</v>
      </c>
      <c r="AM61" s="19">
        <f t="shared" ca="1" si="111"/>
        <v>0</v>
      </c>
      <c r="AN61" s="19">
        <f t="shared" ca="1" si="111"/>
        <v>0</v>
      </c>
      <c r="AO61" s="19">
        <f t="shared" ca="1" si="111"/>
        <v>0</v>
      </c>
      <c r="AP61" s="19">
        <f t="shared" ca="1" si="111"/>
        <v>0</v>
      </c>
      <c r="AQ61" s="19">
        <f t="shared" ca="1" si="111"/>
        <v>0</v>
      </c>
      <c r="AR61" s="19">
        <f t="shared" ca="1" si="111"/>
        <v>0</v>
      </c>
      <c r="AS61" s="19"/>
      <c r="AT61" s="19"/>
      <c r="AU61" s="21"/>
    </row>
    <row r="62" spans="3:47" s="7" customFormat="1" ht="15.75" x14ac:dyDescent="0.25">
      <c r="C62" s="174">
        <v>44256</v>
      </c>
      <c r="D62" s="150"/>
      <c r="E62" s="150"/>
      <c r="F62" s="40"/>
      <c r="G62" s="40"/>
      <c r="H62" s="40"/>
      <c r="I62" s="19">
        <v>0</v>
      </c>
      <c r="J62" s="19">
        <f t="shared" ref="J62:U62" ca="1" si="112">IF(J2&gt;$C$62,0,OFFSET($I$46,0,MAX((ROUND(($C$62-J2)/30+1,0)),0)))</f>
        <v>1715000</v>
      </c>
      <c r="K62" s="19">
        <f t="shared" ca="1" si="112"/>
        <v>0</v>
      </c>
      <c r="L62" s="19">
        <f t="shared" ca="1" si="112"/>
        <v>0</v>
      </c>
      <c r="M62" s="19">
        <f t="shared" ca="1" si="112"/>
        <v>0</v>
      </c>
      <c r="N62" s="19">
        <f t="shared" ca="1" si="112"/>
        <v>0</v>
      </c>
      <c r="O62" s="19">
        <f t="shared" ca="1" si="112"/>
        <v>0</v>
      </c>
      <c r="P62" s="19">
        <f t="shared" ca="1" si="112"/>
        <v>0</v>
      </c>
      <c r="Q62" s="19">
        <f t="shared" ca="1" si="112"/>
        <v>0</v>
      </c>
      <c r="R62" s="19">
        <f t="shared" ca="1" si="112"/>
        <v>0</v>
      </c>
      <c r="S62" s="19">
        <f t="shared" ca="1" si="112"/>
        <v>0</v>
      </c>
      <c r="T62" s="19">
        <f t="shared" ca="1" si="112"/>
        <v>0</v>
      </c>
      <c r="U62" s="19">
        <f t="shared" ca="1" si="112"/>
        <v>0</v>
      </c>
      <c r="V62" s="19"/>
      <c r="W62" s="19"/>
      <c r="X62" s="21"/>
      <c r="Z62" s="174">
        <v>44256</v>
      </c>
      <c r="AA62" s="150"/>
      <c r="AB62" s="150"/>
      <c r="AC62" s="40"/>
      <c r="AD62" s="40"/>
      <c r="AE62" s="40"/>
      <c r="AF62" s="19">
        <v>0</v>
      </c>
      <c r="AG62" s="19">
        <f ca="1">IF(AG2&gt;$Z$62,0,OFFSET($AF$46,0,MAX((ROUND(($Z$62-AG2)/30+1,0)),0)))</f>
        <v>1715000</v>
      </c>
      <c r="AH62" s="19">
        <f t="shared" ref="AH62:AR62" ca="1" si="113">IF(AH2&gt;$Z$62,0,OFFSET($AF$46,0,MAX((ROUND(($Z$62-AH2)/30+1,0)),0)))</f>
        <v>0</v>
      </c>
      <c r="AI62" s="19">
        <f t="shared" ca="1" si="113"/>
        <v>0</v>
      </c>
      <c r="AJ62" s="19">
        <f t="shared" ca="1" si="113"/>
        <v>0</v>
      </c>
      <c r="AK62" s="19">
        <f t="shared" ca="1" si="113"/>
        <v>0</v>
      </c>
      <c r="AL62" s="19">
        <f t="shared" ca="1" si="113"/>
        <v>0</v>
      </c>
      <c r="AM62" s="19">
        <f t="shared" ca="1" si="113"/>
        <v>0</v>
      </c>
      <c r="AN62" s="19">
        <f t="shared" ca="1" si="113"/>
        <v>0</v>
      </c>
      <c r="AO62" s="19">
        <f t="shared" ca="1" si="113"/>
        <v>0</v>
      </c>
      <c r="AP62" s="19">
        <f t="shared" ca="1" si="113"/>
        <v>0</v>
      </c>
      <c r="AQ62" s="19">
        <f t="shared" ca="1" si="113"/>
        <v>0</v>
      </c>
      <c r="AR62" s="19">
        <f t="shared" ca="1" si="113"/>
        <v>0</v>
      </c>
      <c r="AS62" s="19"/>
      <c r="AT62" s="19"/>
      <c r="AU62" s="21"/>
    </row>
    <row r="63" spans="3:47" s="7" customFormat="1" ht="15.75" x14ac:dyDescent="0.25">
      <c r="C63" s="174">
        <v>44287</v>
      </c>
      <c r="D63" s="150"/>
      <c r="E63" s="150"/>
      <c r="F63" s="40"/>
      <c r="G63" s="40"/>
      <c r="H63" s="40"/>
      <c r="I63" s="19">
        <v>0</v>
      </c>
      <c r="J63" s="19">
        <f t="shared" ref="J63:U63" ca="1" si="114">IF(J2&gt;$C$63,0,OFFSET($I$47,0,MAX((ROUND(($C$63-J2)/30+1,0)),0)))</f>
        <v>1960000</v>
      </c>
      <c r="K63" s="19">
        <f t="shared" ca="1" si="114"/>
        <v>0</v>
      </c>
      <c r="L63" s="19">
        <f t="shared" ca="1" si="114"/>
        <v>0</v>
      </c>
      <c r="M63" s="19">
        <f t="shared" ca="1" si="114"/>
        <v>0</v>
      </c>
      <c r="N63" s="19">
        <f t="shared" ca="1" si="114"/>
        <v>0</v>
      </c>
      <c r="O63" s="19">
        <f t="shared" ca="1" si="114"/>
        <v>0</v>
      </c>
      <c r="P63" s="19">
        <f t="shared" ca="1" si="114"/>
        <v>0</v>
      </c>
      <c r="Q63" s="19">
        <f t="shared" ca="1" si="114"/>
        <v>0</v>
      </c>
      <c r="R63" s="19">
        <f t="shared" ca="1" si="114"/>
        <v>0</v>
      </c>
      <c r="S63" s="19">
        <f t="shared" ca="1" si="114"/>
        <v>0</v>
      </c>
      <c r="T63" s="19">
        <f t="shared" ca="1" si="114"/>
        <v>0</v>
      </c>
      <c r="U63" s="19">
        <f t="shared" ca="1" si="114"/>
        <v>0</v>
      </c>
      <c r="V63" s="19"/>
      <c r="W63" s="19"/>
      <c r="X63" s="21"/>
      <c r="Z63" s="174">
        <v>44287</v>
      </c>
      <c r="AA63" s="150"/>
      <c r="AB63" s="150"/>
      <c r="AC63" s="40"/>
      <c r="AD63" s="40"/>
      <c r="AE63" s="40"/>
      <c r="AF63" s="19">
        <v>0</v>
      </c>
      <c r="AG63" s="19">
        <f ca="1">IF(AG2&gt;$Z$63,0,OFFSET($AF$47,0,MAX((ROUND(($Z$63-AG2)/30+1,0)),0)))</f>
        <v>1960000</v>
      </c>
      <c r="AH63" s="19">
        <f t="shared" ref="AH63:AR63" ca="1" si="115">IF(AH2&gt;$Z$63,0,OFFSET($AF$47,0,MAX((ROUND(($Z$63-AH2)/30+1,0)),0)))</f>
        <v>0</v>
      </c>
      <c r="AI63" s="19">
        <f t="shared" ca="1" si="115"/>
        <v>0</v>
      </c>
      <c r="AJ63" s="19">
        <f t="shared" ca="1" si="115"/>
        <v>0</v>
      </c>
      <c r="AK63" s="19">
        <f t="shared" ca="1" si="115"/>
        <v>0</v>
      </c>
      <c r="AL63" s="19">
        <f t="shared" ca="1" si="115"/>
        <v>0</v>
      </c>
      <c r="AM63" s="19">
        <f t="shared" ca="1" si="115"/>
        <v>0</v>
      </c>
      <c r="AN63" s="19">
        <f t="shared" ca="1" si="115"/>
        <v>0</v>
      </c>
      <c r="AO63" s="19">
        <f t="shared" ca="1" si="115"/>
        <v>0</v>
      </c>
      <c r="AP63" s="19">
        <f t="shared" ca="1" si="115"/>
        <v>0</v>
      </c>
      <c r="AQ63" s="19">
        <f t="shared" ca="1" si="115"/>
        <v>0</v>
      </c>
      <c r="AR63" s="19">
        <f t="shared" ca="1" si="115"/>
        <v>0</v>
      </c>
      <c r="AS63" s="19"/>
      <c r="AT63" s="19"/>
      <c r="AU63" s="21"/>
    </row>
    <row r="64" spans="3:47" s="7" customFormat="1" ht="15.75" x14ac:dyDescent="0.25">
      <c r="C64" s="174">
        <v>44317</v>
      </c>
      <c r="D64" s="150"/>
      <c r="E64" s="150"/>
      <c r="F64" s="40"/>
      <c r="G64" s="40"/>
      <c r="H64" s="40"/>
      <c r="I64" s="19">
        <v>0</v>
      </c>
      <c r="J64" s="19">
        <f t="shared" ref="J64:U64" ca="1" si="116">IF(J2&gt;$C$64,0,OFFSET($I$48,0,MAX((ROUND(($C$64-J2)/30+1,0)),0)))</f>
        <v>2205000</v>
      </c>
      <c r="K64" s="19">
        <f t="shared" ca="1" si="116"/>
        <v>0</v>
      </c>
      <c r="L64" s="19">
        <f t="shared" ca="1" si="116"/>
        <v>0</v>
      </c>
      <c r="M64" s="19">
        <f t="shared" ca="1" si="116"/>
        <v>0</v>
      </c>
      <c r="N64" s="19">
        <f t="shared" ca="1" si="116"/>
        <v>0</v>
      </c>
      <c r="O64" s="19">
        <f t="shared" ca="1" si="116"/>
        <v>0</v>
      </c>
      <c r="P64" s="19">
        <f t="shared" ca="1" si="116"/>
        <v>0</v>
      </c>
      <c r="Q64" s="19">
        <f t="shared" ca="1" si="116"/>
        <v>0</v>
      </c>
      <c r="R64" s="19">
        <f t="shared" ca="1" si="116"/>
        <v>0</v>
      </c>
      <c r="S64" s="19">
        <f t="shared" ca="1" si="116"/>
        <v>0</v>
      </c>
      <c r="T64" s="19">
        <f t="shared" ca="1" si="116"/>
        <v>0</v>
      </c>
      <c r="U64" s="19">
        <f t="shared" ca="1" si="116"/>
        <v>0</v>
      </c>
      <c r="V64" s="19"/>
      <c r="W64" s="19"/>
      <c r="X64" s="21"/>
      <c r="Z64" s="174">
        <v>44317</v>
      </c>
      <c r="AA64" s="150"/>
      <c r="AB64" s="150"/>
      <c r="AC64" s="40"/>
      <c r="AD64" s="40"/>
      <c r="AE64" s="40"/>
      <c r="AF64" s="19">
        <v>0</v>
      </c>
      <c r="AG64" s="19">
        <f ca="1">IF(AG2&gt;$Z$64,0,OFFSET($AF$48,0,MAX((ROUND(($Z$64-AG2)/30+1,0)),0)))</f>
        <v>2205000</v>
      </c>
      <c r="AH64" s="19">
        <f t="shared" ref="AH64:AR64" ca="1" si="117">IF(AH2&gt;$Z$64,0,OFFSET($AF$48,0,MAX((ROUND(($Z$64-AH2)/30+1,0)),0)))</f>
        <v>0</v>
      </c>
      <c r="AI64" s="19">
        <f t="shared" ca="1" si="117"/>
        <v>0</v>
      </c>
      <c r="AJ64" s="19">
        <f t="shared" ca="1" si="117"/>
        <v>0</v>
      </c>
      <c r="AK64" s="19">
        <f t="shared" ca="1" si="117"/>
        <v>0</v>
      </c>
      <c r="AL64" s="19">
        <f t="shared" ca="1" si="117"/>
        <v>0</v>
      </c>
      <c r="AM64" s="19">
        <f t="shared" ca="1" si="117"/>
        <v>0</v>
      </c>
      <c r="AN64" s="19">
        <f t="shared" ca="1" si="117"/>
        <v>0</v>
      </c>
      <c r="AO64" s="19">
        <f t="shared" ca="1" si="117"/>
        <v>0</v>
      </c>
      <c r="AP64" s="19">
        <f t="shared" ca="1" si="117"/>
        <v>0</v>
      </c>
      <c r="AQ64" s="19">
        <f t="shared" ca="1" si="117"/>
        <v>0</v>
      </c>
      <c r="AR64" s="19">
        <f t="shared" ca="1" si="117"/>
        <v>0</v>
      </c>
      <c r="AS64" s="19"/>
      <c r="AT64" s="19"/>
      <c r="AU64" s="21"/>
    </row>
    <row r="65" spans="3:47" s="7" customFormat="1" ht="15.75" x14ac:dyDescent="0.25">
      <c r="C65" s="174">
        <v>44348</v>
      </c>
      <c r="D65" s="150"/>
      <c r="E65" s="150"/>
      <c r="F65" s="40"/>
      <c r="G65" s="40"/>
      <c r="H65" s="40"/>
      <c r="I65" s="19">
        <v>0</v>
      </c>
      <c r="J65" s="19">
        <f t="shared" ref="J65:U65" ca="1" si="118">IF(J2&gt;$C$65,0,OFFSET($I$49,0,MAX((ROUND(($C$65-J2)/30+1,0)),0)))</f>
        <v>2450000</v>
      </c>
      <c r="K65" s="19">
        <f t="shared" ca="1" si="118"/>
        <v>0</v>
      </c>
      <c r="L65" s="19">
        <f t="shared" ca="1" si="118"/>
        <v>0</v>
      </c>
      <c r="M65" s="19">
        <f t="shared" ca="1" si="118"/>
        <v>0</v>
      </c>
      <c r="N65" s="19">
        <f t="shared" ca="1" si="118"/>
        <v>0</v>
      </c>
      <c r="O65" s="19">
        <f t="shared" ca="1" si="118"/>
        <v>0</v>
      </c>
      <c r="P65" s="19">
        <f t="shared" ca="1" si="118"/>
        <v>0</v>
      </c>
      <c r="Q65" s="19">
        <f t="shared" ca="1" si="118"/>
        <v>0</v>
      </c>
      <c r="R65" s="19">
        <f t="shared" ca="1" si="118"/>
        <v>0</v>
      </c>
      <c r="S65" s="19">
        <f t="shared" ca="1" si="118"/>
        <v>0</v>
      </c>
      <c r="T65" s="19">
        <f t="shared" ca="1" si="118"/>
        <v>0</v>
      </c>
      <c r="U65" s="19">
        <f t="shared" ca="1" si="118"/>
        <v>0</v>
      </c>
      <c r="V65" s="19"/>
      <c r="W65" s="19"/>
      <c r="X65" s="21"/>
      <c r="Z65" s="174">
        <v>44348</v>
      </c>
      <c r="AA65" s="150"/>
      <c r="AB65" s="150"/>
      <c r="AC65" s="40"/>
      <c r="AD65" s="40"/>
      <c r="AE65" s="40"/>
      <c r="AF65" s="19">
        <v>0</v>
      </c>
      <c r="AG65" s="19">
        <f ca="1">IF(AG2&gt;$Z$65,0,OFFSET($AF$49,0,MAX((ROUND(($Z$65-AG2)/30+1,0)),0)))</f>
        <v>2450000</v>
      </c>
      <c r="AH65" s="19">
        <f t="shared" ref="AH65:AR65" ca="1" si="119">IF(AH2&gt;$Z$65,0,OFFSET($AF$49,0,MAX((ROUND(($Z$65-AH2)/30+1,0)),0)))</f>
        <v>0</v>
      </c>
      <c r="AI65" s="19">
        <f t="shared" ca="1" si="119"/>
        <v>0</v>
      </c>
      <c r="AJ65" s="19">
        <f t="shared" ca="1" si="119"/>
        <v>0</v>
      </c>
      <c r="AK65" s="19">
        <f t="shared" ca="1" si="119"/>
        <v>0</v>
      </c>
      <c r="AL65" s="19">
        <f t="shared" ca="1" si="119"/>
        <v>0</v>
      </c>
      <c r="AM65" s="19">
        <f t="shared" ca="1" si="119"/>
        <v>0</v>
      </c>
      <c r="AN65" s="19">
        <f t="shared" ca="1" si="119"/>
        <v>0</v>
      </c>
      <c r="AO65" s="19">
        <f t="shared" ca="1" si="119"/>
        <v>0</v>
      </c>
      <c r="AP65" s="19">
        <f t="shared" ca="1" si="119"/>
        <v>0</v>
      </c>
      <c r="AQ65" s="19">
        <f t="shared" ca="1" si="119"/>
        <v>0</v>
      </c>
      <c r="AR65" s="19">
        <f t="shared" ca="1" si="119"/>
        <v>0</v>
      </c>
      <c r="AS65" s="19"/>
      <c r="AT65" s="19"/>
      <c r="AU65" s="21"/>
    </row>
    <row r="66" spans="3:47" s="7" customFormat="1" ht="15.75" thickBot="1" x14ac:dyDescent="0.3">
      <c r="C66" s="11"/>
      <c r="D66" s="2"/>
      <c r="E66" s="2"/>
      <c r="F66" s="2"/>
      <c r="G66" s="2"/>
      <c r="H66" s="2"/>
      <c r="I66" s="2"/>
      <c r="J66" s="2"/>
      <c r="K66" s="2"/>
      <c r="L66" s="2"/>
      <c r="M66" s="2"/>
      <c r="N66" s="2"/>
      <c r="O66" s="2"/>
      <c r="P66" s="2"/>
      <c r="Q66" s="2"/>
      <c r="R66" s="2"/>
      <c r="S66" s="2"/>
      <c r="T66" s="2"/>
      <c r="U66" s="2"/>
      <c r="V66" s="2"/>
      <c r="W66" s="2"/>
      <c r="X66" s="41"/>
      <c r="Z66" s="11"/>
      <c r="AA66" s="2"/>
      <c r="AB66" s="2"/>
      <c r="AC66" s="2"/>
      <c r="AD66" s="2"/>
      <c r="AE66" s="2"/>
      <c r="AF66" s="2"/>
      <c r="AG66" s="2"/>
      <c r="AH66" s="2"/>
      <c r="AI66" s="2"/>
      <c r="AJ66" s="2"/>
      <c r="AK66" s="2"/>
      <c r="AL66" s="2"/>
      <c r="AM66" s="2"/>
      <c r="AN66" s="2"/>
      <c r="AO66" s="2"/>
      <c r="AP66" s="2"/>
      <c r="AQ66" s="2"/>
      <c r="AR66" s="2"/>
      <c r="AS66" s="2"/>
      <c r="AT66" s="2"/>
      <c r="AU66" s="41"/>
    </row>
    <row r="68" spans="3:47" ht="15.75" thickBot="1" x14ac:dyDescent="0.3">
      <c r="H68" s="171"/>
      <c r="I68" s="171"/>
      <c r="AE68" s="171"/>
      <c r="AF68" s="171"/>
    </row>
    <row r="69" spans="3:47" ht="26.25" x14ac:dyDescent="0.4">
      <c r="C69" s="183" t="s">
        <v>270</v>
      </c>
      <c r="D69" s="34"/>
      <c r="E69" s="34"/>
      <c r="F69" s="34"/>
      <c r="G69" s="34"/>
      <c r="H69" s="34"/>
      <c r="I69" s="34" t="s">
        <v>193</v>
      </c>
      <c r="J69" s="34">
        <f>הנחות!F6</f>
        <v>43983</v>
      </c>
      <c r="K69" s="34">
        <f>EDATE(J69,1)</f>
        <v>44013</v>
      </c>
      <c r="L69" s="34">
        <f t="shared" ref="L69:W69" si="120">EDATE(K69,1)</f>
        <v>44044</v>
      </c>
      <c r="M69" s="34">
        <f t="shared" si="120"/>
        <v>44075</v>
      </c>
      <c r="N69" s="34">
        <f t="shared" si="120"/>
        <v>44105</v>
      </c>
      <c r="O69" s="34">
        <f t="shared" si="120"/>
        <v>44136</v>
      </c>
      <c r="P69" s="34">
        <f t="shared" si="120"/>
        <v>44166</v>
      </c>
      <c r="Q69" s="34">
        <f t="shared" si="120"/>
        <v>44197</v>
      </c>
      <c r="R69" s="34">
        <f t="shared" si="120"/>
        <v>44228</v>
      </c>
      <c r="S69" s="34">
        <f t="shared" si="120"/>
        <v>44256</v>
      </c>
      <c r="T69" s="34">
        <f t="shared" si="120"/>
        <v>44287</v>
      </c>
      <c r="U69" s="34">
        <f t="shared" si="120"/>
        <v>44317</v>
      </c>
      <c r="V69" s="34">
        <f t="shared" si="120"/>
        <v>44348</v>
      </c>
      <c r="W69" s="34">
        <f t="shared" si="120"/>
        <v>44378</v>
      </c>
      <c r="X69" s="20" t="s">
        <v>23</v>
      </c>
      <c r="Z69" s="183" t="s">
        <v>270</v>
      </c>
      <c r="AA69" s="34"/>
      <c r="AB69" s="34"/>
      <c r="AC69" s="34"/>
      <c r="AD69" s="34"/>
      <c r="AE69" s="34"/>
      <c r="AF69" s="34" t="s">
        <v>193</v>
      </c>
      <c r="AG69" s="34">
        <f>הנחות!F6</f>
        <v>43983</v>
      </c>
      <c r="AH69" s="34">
        <f>EDATE(AG69,1)</f>
        <v>44013</v>
      </c>
      <c r="AI69" s="34">
        <f t="shared" ref="AI69:AT69" si="121">EDATE(AH69,1)</f>
        <v>44044</v>
      </c>
      <c r="AJ69" s="34">
        <f t="shared" si="121"/>
        <v>44075</v>
      </c>
      <c r="AK69" s="34">
        <f t="shared" si="121"/>
        <v>44105</v>
      </c>
      <c r="AL69" s="34">
        <f t="shared" si="121"/>
        <v>44136</v>
      </c>
      <c r="AM69" s="34">
        <f t="shared" si="121"/>
        <v>44166</v>
      </c>
      <c r="AN69" s="34">
        <f t="shared" si="121"/>
        <v>44197</v>
      </c>
      <c r="AO69" s="34">
        <f t="shared" si="121"/>
        <v>44228</v>
      </c>
      <c r="AP69" s="34">
        <f t="shared" si="121"/>
        <v>44256</v>
      </c>
      <c r="AQ69" s="34">
        <f t="shared" si="121"/>
        <v>44287</v>
      </c>
      <c r="AR69" s="34">
        <f t="shared" si="121"/>
        <v>44317</v>
      </c>
      <c r="AS69" s="34">
        <f t="shared" si="121"/>
        <v>44348</v>
      </c>
      <c r="AT69" s="34">
        <f t="shared" si="121"/>
        <v>44378</v>
      </c>
      <c r="AU69" s="20" t="s">
        <v>23</v>
      </c>
    </row>
    <row r="70" spans="3:47" ht="15.75" x14ac:dyDescent="0.25">
      <c r="C70" s="24"/>
      <c r="D70" s="150"/>
      <c r="E70" s="150"/>
      <c r="F70" s="40"/>
      <c r="G70" s="40"/>
      <c r="H70" s="71"/>
      <c r="I70" s="40"/>
      <c r="J70" s="19"/>
      <c r="K70" s="19"/>
      <c r="L70" s="19"/>
      <c r="M70" s="19"/>
      <c r="N70" s="19"/>
      <c r="O70" s="19"/>
      <c r="P70" s="19"/>
      <c r="Q70" s="19"/>
      <c r="R70" s="19"/>
      <c r="S70" s="19"/>
      <c r="T70" s="19"/>
      <c r="U70" s="19"/>
      <c r="V70" s="19"/>
      <c r="W70" s="19"/>
      <c r="X70" s="21"/>
      <c r="Z70" s="24"/>
      <c r="AA70" s="150"/>
      <c r="AB70" s="150"/>
      <c r="AC70" s="40"/>
      <c r="AD70" s="40"/>
      <c r="AE70" s="71"/>
      <c r="AF70" s="40"/>
      <c r="AG70" s="19"/>
      <c r="AH70" s="19"/>
      <c r="AI70" s="19"/>
      <c r="AJ70" s="19"/>
      <c r="AK70" s="19"/>
      <c r="AL70" s="19"/>
      <c r="AM70" s="19"/>
      <c r="AN70" s="19"/>
      <c r="AO70" s="19"/>
      <c r="AP70" s="19"/>
      <c r="AQ70" s="19"/>
      <c r="AR70" s="19"/>
      <c r="AS70" s="19"/>
      <c r="AT70" s="19"/>
      <c r="AU70" s="21"/>
    </row>
    <row r="71" spans="3:47" s="7" customFormat="1" ht="15.75" x14ac:dyDescent="0.25">
      <c r="C71" s="282" t="s">
        <v>322</v>
      </c>
      <c r="D71" s="150"/>
      <c r="E71" s="150"/>
      <c r="F71" s="40"/>
      <c r="G71" s="40"/>
      <c r="H71" s="71"/>
      <c r="I71" s="40"/>
      <c r="J71" s="283">
        <f>YEAR(J69)</f>
        <v>2020</v>
      </c>
      <c r="K71" s="283">
        <f t="shared" ref="K71:V71" si="122">YEAR(K69)</f>
        <v>2020</v>
      </c>
      <c r="L71" s="283">
        <f t="shared" si="122"/>
        <v>2020</v>
      </c>
      <c r="M71" s="283">
        <f t="shared" si="122"/>
        <v>2020</v>
      </c>
      <c r="N71" s="283">
        <f t="shared" si="122"/>
        <v>2020</v>
      </c>
      <c r="O71" s="283">
        <f t="shared" si="122"/>
        <v>2020</v>
      </c>
      <c r="P71" s="283">
        <f t="shared" si="122"/>
        <v>2020</v>
      </c>
      <c r="Q71" s="283">
        <f t="shared" si="122"/>
        <v>2021</v>
      </c>
      <c r="R71" s="283">
        <f t="shared" si="122"/>
        <v>2021</v>
      </c>
      <c r="S71" s="283">
        <f t="shared" si="122"/>
        <v>2021</v>
      </c>
      <c r="T71" s="283">
        <f t="shared" si="122"/>
        <v>2021</v>
      </c>
      <c r="U71" s="283">
        <f t="shared" si="122"/>
        <v>2021</v>
      </c>
      <c r="V71" s="283">
        <f t="shared" si="122"/>
        <v>2021</v>
      </c>
      <c r="W71" s="19"/>
      <c r="X71" s="21"/>
      <c r="Z71" s="282" t="s">
        <v>322</v>
      </c>
      <c r="AA71" s="150"/>
      <c r="AB71" s="150"/>
      <c r="AC71" s="40"/>
      <c r="AD71" s="40"/>
      <c r="AE71" s="71"/>
      <c r="AF71" s="40"/>
      <c r="AG71" s="283">
        <f>YEAR(AG69)</f>
        <v>2020</v>
      </c>
      <c r="AH71" s="283">
        <f t="shared" ref="AH71:AS71" si="123">YEAR(AH69)</f>
        <v>2020</v>
      </c>
      <c r="AI71" s="283">
        <f t="shared" si="123"/>
        <v>2020</v>
      </c>
      <c r="AJ71" s="283">
        <f t="shared" si="123"/>
        <v>2020</v>
      </c>
      <c r="AK71" s="283">
        <f t="shared" si="123"/>
        <v>2020</v>
      </c>
      <c r="AL71" s="283">
        <f t="shared" si="123"/>
        <v>2020</v>
      </c>
      <c r="AM71" s="283">
        <f t="shared" si="123"/>
        <v>2020</v>
      </c>
      <c r="AN71" s="283">
        <f t="shared" si="123"/>
        <v>2021</v>
      </c>
      <c r="AO71" s="283">
        <f t="shared" si="123"/>
        <v>2021</v>
      </c>
      <c r="AP71" s="283">
        <f t="shared" si="123"/>
        <v>2021</v>
      </c>
      <c r="AQ71" s="283">
        <f t="shared" si="123"/>
        <v>2021</v>
      </c>
      <c r="AR71" s="283">
        <f t="shared" si="123"/>
        <v>2021</v>
      </c>
      <c r="AS71" s="283">
        <f t="shared" si="123"/>
        <v>2021</v>
      </c>
      <c r="AT71" s="19"/>
      <c r="AU71" s="21"/>
    </row>
    <row r="72" spans="3:47" s="7" customFormat="1" ht="15.75" x14ac:dyDescent="0.25">
      <c r="C72" s="282" t="s">
        <v>323</v>
      </c>
      <c r="D72" s="150"/>
      <c r="E72" s="150"/>
      <c r="F72" s="40"/>
      <c r="G72" s="40"/>
      <c r="H72" s="71"/>
      <c r="I72" s="40"/>
      <c r="J72" s="19">
        <f>MONTH(J69)</f>
        <v>6</v>
      </c>
      <c r="K72" s="19">
        <f t="shared" ref="K72:V72" si="124">MONTH(K69)</f>
        <v>7</v>
      </c>
      <c r="L72" s="19">
        <f t="shared" si="124"/>
        <v>8</v>
      </c>
      <c r="M72" s="19">
        <f t="shared" si="124"/>
        <v>9</v>
      </c>
      <c r="N72" s="19">
        <f t="shared" si="124"/>
        <v>10</v>
      </c>
      <c r="O72" s="19">
        <f t="shared" si="124"/>
        <v>11</v>
      </c>
      <c r="P72" s="19">
        <f t="shared" si="124"/>
        <v>12</v>
      </c>
      <c r="Q72" s="19">
        <f t="shared" si="124"/>
        <v>1</v>
      </c>
      <c r="R72" s="19">
        <f t="shared" si="124"/>
        <v>2</v>
      </c>
      <c r="S72" s="19">
        <f t="shared" si="124"/>
        <v>3</v>
      </c>
      <c r="T72" s="19">
        <f t="shared" si="124"/>
        <v>4</v>
      </c>
      <c r="U72" s="19">
        <f t="shared" si="124"/>
        <v>5</v>
      </c>
      <c r="V72" s="19">
        <f t="shared" si="124"/>
        <v>6</v>
      </c>
      <c r="W72" s="19"/>
      <c r="X72" s="21"/>
      <c r="Z72" s="282" t="s">
        <v>323</v>
      </c>
      <c r="AA72" s="150"/>
      <c r="AB72" s="150"/>
      <c r="AC72" s="40"/>
      <c r="AD72" s="40"/>
      <c r="AE72" s="71"/>
      <c r="AF72" s="40"/>
      <c r="AG72" s="19">
        <f>MONTH(AG69)</f>
        <v>6</v>
      </c>
      <c r="AH72" s="19">
        <f t="shared" ref="AH72:AS72" si="125">MONTH(AH69)</f>
        <v>7</v>
      </c>
      <c r="AI72" s="19">
        <f t="shared" si="125"/>
        <v>8</v>
      </c>
      <c r="AJ72" s="19">
        <f t="shared" si="125"/>
        <v>9</v>
      </c>
      <c r="AK72" s="19">
        <f t="shared" si="125"/>
        <v>10</v>
      </c>
      <c r="AL72" s="19">
        <f t="shared" si="125"/>
        <v>11</v>
      </c>
      <c r="AM72" s="19">
        <f t="shared" si="125"/>
        <v>12</v>
      </c>
      <c r="AN72" s="19">
        <f t="shared" si="125"/>
        <v>1</v>
      </c>
      <c r="AO72" s="19">
        <f t="shared" si="125"/>
        <v>2</v>
      </c>
      <c r="AP72" s="19">
        <f t="shared" si="125"/>
        <v>3</v>
      </c>
      <c r="AQ72" s="19">
        <f t="shared" si="125"/>
        <v>4</v>
      </c>
      <c r="AR72" s="19">
        <f t="shared" si="125"/>
        <v>5</v>
      </c>
      <c r="AS72" s="19">
        <f t="shared" si="125"/>
        <v>6</v>
      </c>
      <c r="AT72" s="19"/>
      <c r="AU72" s="21"/>
    </row>
    <row r="73" spans="3:47" s="7" customFormat="1" ht="15.75" x14ac:dyDescent="0.25">
      <c r="C73" s="282" t="s">
        <v>324</v>
      </c>
      <c r="D73" s="150"/>
      <c r="E73" s="150"/>
      <c r="F73" s="40"/>
      <c r="G73" s="40"/>
      <c r="H73" s="71"/>
      <c r="I73" s="40"/>
      <c r="J73" s="19">
        <f>DAY(J69)</f>
        <v>1</v>
      </c>
      <c r="K73" s="19">
        <f t="shared" ref="K73:V73" si="126">DAY(K69)</f>
        <v>1</v>
      </c>
      <c r="L73" s="19">
        <f t="shared" si="126"/>
        <v>1</v>
      </c>
      <c r="M73" s="19">
        <f t="shared" si="126"/>
        <v>1</v>
      </c>
      <c r="N73" s="19">
        <f t="shared" si="126"/>
        <v>1</v>
      </c>
      <c r="O73" s="19">
        <f t="shared" si="126"/>
        <v>1</v>
      </c>
      <c r="P73" s="19">
        <f t="shared" si="126"/>
        <v>1</v>
      </c>
      <c r="Q73" s="19">
        <f t="shared" si="126"/>
        <v>1</v>
      </c>
      <c r="R73" s="19">
        <f t="shared" si="126"/>
        <v>1</v>
      </c>
      <c r="S73" s="19">
        <f t="shared" si="126"/>
        <v>1</v>
      </c>
      <c r="T73" s="19">
        <f t="shared" si="126"/>
        <v>1</v>
      </c>
      <c r="U73" s="19">
        <f t="shared" si="126"/>
        <v>1</v>
      </c>
      <c r="V73" s="19">
        <f t="shared" si="126"/>
        <v>1</v>
      </c>
      <c r="W73" s="19"/>
      <c r="X73" s="21"/>
      <c r="Z73" s="282" t="s">
        <v>324</v>
      </c>
      <c r="AA73" s="150"/>
      <c r="AB73" s="150"/>
      <c r="AC73" s="40"/>
      <c r="AD73" s="40"/>
      <c r="AE73" s="71"/>
      <c r="AF73" s="40"/>
      <c r="AG73" s="19">
        <f>DAY(AG69)</f>
        <v>1</v>
      </c>
      <c r="AH73" s="19">
        <f t="shared" ref="AH73:AS73" si="127">DAY(AH69)</f>
        <v>1</v>
      </c>
      <c r="AI73" s="19">
        <f t="shared" si="127"/>
        <v>1</v>
      </c>
      <c r="AJ73" s="19">
        <f t="shared" si="127"/>
        <v>1</v>
      </c>
      <c r="AK73" s="19">
        <f t="shared" si="127"/>
        <v>1</v>
      </c>
      <c r="AL73" s="19">
        <f t="shared" si="127"/>
        <v>1</v>
      </c>
      <c r="AM73" s="19">
        <f t="shared" si="127"/>
        <v>1</v>
      </c>
      <c r="AN73" s="19">
        <f t="shared" si="127"/>
        <v>1</v>
      </c>
      <c r="AO73" s="19">
        <f t="shared" si="127"/>
        <v>1</v>
      </c>
      <c r="AP73" s="19">
        <f t="shared" si="127"/>
        <v>1</v>
      </c>
      <c r="AQ73" s="19">
        <f t="shared" si="127"/>
        <v>1</v>
      </c>
      <c r="AR73" s="19">
        <f t="shared" si="127"/>
        <v>1</v>
      </c>
      <c r="AS73" s="19">
        <f t="shared" si="127"/>
        <v>1</v>
      </c>
      <c r="AT73" s="19"/>
      <c r="AU73" s="21"/>
    </row>
    <row r="74" spans="3:47" ht="16.5" thickBot="1" x14ac:dyDescent="0.3">
      <c r="C74" s="23" t="s">
        <v>188</v>
      </c>
      <c r="D74" s="150"/>
      <c r="E74" s="150"/>
      <c r="F74" s="40"/>
      <c r="G74" s="40"/>
      <c r="H74" s="40"/>
      <c r="I74" s="40"/>
      <c r="J74" s="57"/>
      <c r="K74" s="57"/>
      <c r="L74" s="57"/>
      <c r="M74" s="57"/>
      <c r="N74" s="57"/>
      <c r="O74" s="57"/>
      <c r="P74" s="57"/>
      <c r="Q74" s="57"/>
      <c r="R74" s="57"/>
      <c r="S74" s="57"/>
      <c r="T74" s="57"/>
      <c r="U74" s="57"/>
      <c r="V74" s="57"/>
      <c r="W74" s="57"/>
      <c r="X74" s="72"/>
      <c r="Z74" s="23" t="s">
        <v>188</v>
      </c>
      <c r="AA74" s="150"/>
      <c r="AB74" s="150"/>
      <c r="AC74" s="40"/>
      <c r="AD74" s="40"/>
      <c r="AE74" s="40"/>
      <c r="AF74" s="40"/>
      <c r="AG74" s="57"/>
      <c r="AH74" s="57"/>
      <c r="AI74" s="57"/>
      <c r="AJ74" s="57"/>
      <c r="AK74" s="57"/>
      <c r="AL74" s="57"/>
      <c r="AM74" s="57"/>
      <c r="AN74" s="57"/>
      <c r="AO74" s="57"/>
      <c r="AP74" s="57"/>
      <c r="AQ74" s="57"/>
      <c r="AR74" s="57"/>
      <c r="AS74" s="57"/>
      <c r="AT74" s="57"/>
      <c r="AU74" s="72"/>
    </row>
    <row r="75" spans="3:47" s="7" customFormat="1" ht="16.5" thickBot="1" x14ac:dyDescent="0.3">
      <c r="C75" s="24" t="s">
        <v>62</v>
      </c>
      <c r="D75" s="150"/>
      <c r="E75" s="286">
        <f>Dashboard!D4</f>
        <v>43983</v>
      </c>
      <c r="F75" s="40"/>
      <c r="G75" s="40"/>
      <c r="H75" s="40"/>
      <c r="I75" s="40">
        <v>0</v>
      </c>
      <c r="J75" s="285">
        <f t="shared" ref="J75:V75" si="128">IF(J69&gt;=$E$75,I75+1,0)</f>
        <v>1</v>
      </c>
      <c r="K75" s="285">
        <f t="shared" si="128"/>
        <v>2</v>
      </c>
      <c r="L75" s="285">
        <f t="shared" si="128"/>
        <v>3</v>
      </c>
      <c r="M75" s="285">
        <f t="shared" si="128"/>
        <v>4</v>
      </c>
      <c r="N75" s="285">
        <f t="shared" si="128"/>
        <v>5</v>
      </c>
      <c r="O75" s="285">
        <f t="shared" si="128"/>
        <v>6</v>
      </c>
      <c r="P75" s="285">
        <f t="shared" si="128"/>
        <v>7</v>
      </c>
      <c r="Q75" s="285">
        <f t="shared" si="128"/>
        <v>8</v>
      </c>
      <c r="R75" s="285">
        <f t="shared" si="128"/>
        <v>9</v>
      </c>
      <c r="S75" s="285">
        <f t="shared" si="128"/>
        <v>10</v>
      </c>
      <c r="T75" s="285">
        <f t="shared" si="128"/>
        <v>11</v>
      </c>
      <c r="U75" s="285">
        <f t="shared" si="128"/>
        <v>12</v>
      </c>
      <c r="V75" s="285">
        <f t="shared" si="128"/>
        <v>13</v>
      </c>
      <c r="W75" s="57"/>
      <c r="X75" s="72"/>
      <c r="Z75" s="24" t="s">
        <v>62</v>
      </c>
      <c r="AA75" s="150"/>
      <c r="AB75" s="150"/>
      <c r="AC75" s="40"/>
      <c r="AD75" s="287">
        <f>הנחות!F6</f>
        <v>43983</v>
      </c>
      <c r="AE75" s="40"/>
      <c r="AF75" s="40">
        <v>0</v>
      </c>
      <c r="AG75" s="285">
        <f>IF(AG69&gt;=$AD$75,AF75+1,0)</f>
        <v>1</v>
      </c>
      <c r="AH75" s="285">
        <f t="shared" ref="AH75:AS75" si="129">IF(AH69&gt;=$AD$75,AG75+1,0)</f>
        <v>2</v>
      </c>
      <c r="AI75" s="285">
        <f t="shared" si="129"/>
        <v>3</v>
      </c>
      <c r="AJ75" s="285">
        <f t="shared" si="129"/>
        <v>4</v>
      </c>
      <c r="AK75" s="285">
        <f t="shared" si="129"/>
        <v>5</v>
      </c>
      <c r="AL75" s="285">
        <f t="shared" si="129"/>
        <v>6</v>
      </c>
      <c r="AM75" s="285">
        <f t="shared" si="129"/>
        <v>7</v>
      </c>
      <c r="AN75" s="285">
        <f t="shared" si="129"/>
        <v>8</v>
      </c>
      <c r="AO75" s="285">
        <f t="shared" si="129"/>
        <v>9</v>
      </c>
      <c r="AP75" s="285">
        <f t="shared" si="129"/>
        <v>10</v>
      </c>
      <c r="AQ75" s="285">
        <f t="shared" si="129"/>
        <v>11</v>
      </c>
      <c r="AR75" s="285">
        <f t="shared" si="129"/>
        <v>12</v>
      </c>
      <c r="AS75" s="285">
        <f t="shared" si="129"/>
        <v>13</v>
      </c>
      <c r="AT75" s="57"/>
      <c r="AU75" s="72"/>
    </row>
    <row r="76" spans="3:47" ht="16.5" thickBot="1" x14ac:dyDescent="0.3">
      <c r="C76" s="24" t="s">
        <v>189</v>
      </c>
      <c r="D76" s="40"/>
      <c r="E76" s="58">
        <f>הנחות!O43</f>
        <v>1200000</v>
      </c>
      <c r="H76" s="40"/>
      <c r="I76" s="40"/>
      <c r="J76" s="178">
        <f>E76</f>
        <v>1200000</v>
      </c>
      <c r="K76" s="178">
        <f>J78</f>
        <v>600000</v>
      </c>
      <c r="L76" s="178">
        <f t="shared" ref="L76:V76" si="130">K78</f>
        <v>0</v>
      </c>
      <c r="M76" s="178">
        <f t="shared" si="130"/>
        <v>0</v>
      </c>
      <c r="N76" s="178">
        <f t="shared" si="130"/>
        <v>0</v>
      </c>
      <c r="O76" s="178">
        <f t="shared" si="130"/>
        <v>0</v>
      </c>
      <c r="P76" s="178">
        <f t="shared" si="130"/>
        <v>0</v>
      </c>
      <c r="Q76" s="178">
        <f t="shared" si="130"/>
        <v>0</v>
      </c>
      <c r="R76" s="178">
        <f t="shared" si="130"/>
        <v>0</v>
      </c>
      <c r="S76" s="178">
        <f t="shared" si="130"/>
        <v>0</v>
      </c>
      <c r="T76" s="178">
        <f t="shared" si="130"/>
        <v>0</v>
      </c>
      <c r="U76" s="178">
        <f t="shared" si="130"/>
        <v>0</v>
      </c>
      <c r="V76" s="178">
        <f t="shared" si="130"/>
        <v>0</v>
      </c>
      <c r="W76" s="57"/>
      <c r="X76" s="72"/>
      <c r="Z76" s="24" t="s">
        <v>189</v>
      </c>
      <c r="AA76" s="150"/>
      <c r="AB76" s="150"/>
      <c r="AC76" s="40"/>
      <c r="AD76" s="58"/>
      <c r="AE76" s="40"/>
      <c r="AF76" s="40"/>
      <c r="AG76" s="178">
        <f>AD76</f>
        <v>0</v>
      </c>
      <c r="AH76" s="178">
        <f>AG78</f>
        <v>0</v>
      </c>
      <c r="AI76" s="178">
        <f t="shared" ref="AI76" si="131">AH78</f>
        <v>0</v>
      </c>
      <c r="AJ76" s="178">
        <f t="shared" ref="AJ76" si="132">AI78</f>
        <v>0</v>
      </c>
      <c r="AK76" s="178">
        <f t="shared" ref="AK76" si="133">AJ78</f>
        <v>0</v>
      </c>
      <c r="AL76" s="178">
        <f t="shared" ref="AL76" si="134">AK78</f>
        <v>0</v>
      </c>
      <c r="AM76" s="178">
        <f t="shared" ref="AM76" si="135">AL78</f>
        <v>0</v>
      </c>
      <c r="AN76" s="178">
        <f t="shared" ref="AN76" si="136">AM78</f>
        <v>0</v>
      </c>
      <c r="AO76" s="178">
        <f t="shared" ref="AO76" si="137">AN78</f>
        <v>0</v>
      </c>
      <c r="AP76" s="178">
        <f t="shared" ref="AP76" si="138">AO78</f>
        <v>0</v>
      </c>
      <c r="AQ76" s="178">
        <f t="shared" ref="AQ76" si="139">AP78</f>
        <v>0</v>
      </c>
      <c r="AR76" s="178">
        <f t="shared" ref="AR76" si="140">AQ78</f>
        <v>0</v>
      </c>
      <c r="AS76" s="178">
        <f t="shared" ref="AS76" si="141">AR78</f>
        <v>0</v>
      </c>
      <c r="AT76" s="57"/>
      <c r="AU76" s="72"/>
    </row>
    <row r="77" spans="3:47" ht="15.75" x14ac:dyDescent="0.25">
      <c r="C77" s="24" t="s">
        <v>194</v>
      </c>
      <c r="D77" s="40"/>
      <c r="E77" s="40"/>
      <c r="H77" s="40"/>
      <c r="I77" s="40"/>
      <c r="J77" s="19">
        <f>IF(OR(J75=1,J75=2),$E$76/2,0)</f>
        <v>600000</v>
      </c>
      <c r="K77" s="19">
        <f t="shared" ref="K77:V77" si="142">IF(OR(K75=1,K75=2),$E$76/2,0)</f>
        <v>600000</v>
      </c>
      <c r="L77" s="19">
        <f t="shared" si="142"/>
        <v>0</v>
      </c>
      <c r="M77" s="19">
        <f t="shared" si="142"/>
        <v>0</v>
      </c>
      <c r="N77" s="19">
        <f t="shared" si="142"/>
        <v>0</v>
      </c>
      <c r="O77" s="19">
        <f t="shared" si="142"/>
        <v>0</v>
      </c>
      <c r="P77" s="19">
        <f t="shared" si="142"/>
        <v>0</v>
      </c>
      <c r="Q77" s="19">
        <f t="shared" si="142"/>
        <v>0</v>
      </c>
      <c r="R77" s="19">
        <f t="shared" si="142"/>
        <v>0</v>
      </c>
      <c r="S77" s="19">
        <f t="shared" si="142"/>
        <v>0</v>
      </c>
      <c r="T77" s="19">
        <f t="shared" si="142"/>
        <v>0</v>
      </c>
      <c r="U77" s="19">
        <f t="shared" si="142"/>
        <v>0</v>
      </c>
      <c r="V77" s="19">
        <f t="shared" si="142"/>
        <v>0</v>
      </c>
      <c r="W77" s="57"/>
      <c r="X77" s="72"/>
      <c r="Z77" s="24" t="s">
        <v>194</v>
      </c>
      <c r="AA77" s="150"/>
      <c r="AB77" s="150"/>
      <c r="AC77" s="40"/>
      <c r="AD77" s="40"/>
      <c r="AE77" s="40"/>
      <c r="AF77" s="40"/>
      <c r="AG77" s="19">
        <f>IF(OR(AG75=1,AG75=2),$AD$76/2,0)</f>
        <v>0</v>
      </c>
      <c r="AH77" s="19">
        <f t="shared" ref="AH77:AS77" si="143">IF(OR(AH75=1,AH75=2),$AD$76/2,0)</f>
        <v>0</v>
      </c>
      <c r="AI77" s="19">
        <f t="shared" si="143"/>
        <v>0</v>
      </c>
      <c r="AJ77" s="19">
        <f t="shared" si="143"/>
        <v>0</v>
      </c>
      <c r="AK77" s="19">
        <f t="shared" si="143"/>
        <v>0</v>
      </c>
      <c r="AL77" s="19">
        <f t="shared" si="143"/>
        <v>0</v>
      </c>
      <c r="AM77" s="19">
        <f t="shared" si="143"/>
        <v>0</v>
      </c>
      <c r="AN77" s="19">
        <f t="shared" si="143"/>
        <v>0</v>
      </c>
      <c r="AO77" s="19">
        <f t="shared" si="143"/>
        <v>0</v>
      </c>
      <c r="AP77" s="19">
        <f t="shared" si="143"/>
        <v>0</v>
      </c>
      <c r="AQ77" s="19">
        <f t="shared" si="143"/>
        <v>0</v>
      </c>
      <c r="AR77" s="19">
        <f t="shared" si="143"/>
        <v>0</v>
      </c>
      <c r="AS77" s="19">
        <f t="shared" si="143"/>
        <v>0</v>
      </c>
      <c r="AT77" s="57"/>
      <c r="AU77" s="72"/>
    </row>
    <row r="78" spans="3:47" ht="15.75" x14ac:dyDescent="0.25">
      <c r="C78" s="24" t="s">
        <v>191</v>
      </c>
      <c r="D78" s="40"/>
      <c r="E78" s="40"/>
      <c r="H78" s="40"/>
      <c r="I78" s="40"/>
      <c r="J78" s="178">
        <f>MAX(SUM(J76,-J77),0)</f>
        <v>600000</v>
      </c>
      <c r="K78" s="178">
        <f t="shared" ref="K78" si="144">MAX(SUM(K76,-K77),0)</f>
        <v>0</v>
      </c>
      <c r="L78" s="178">
        <f t="shared" ref="L78" si="145">MAX(SUM(L76,-L77),0)</f>
        <v>0</v>
      </c>
      <c r="M78" s="178">
        <f t="shared" ref="M78" si="146">MAX(SUM(M76,-M77),0)</f>
        <v>0</v>
      </c>
      <c r="N78" s="178">
        <f t="shared" ref="N78" si="147">MAX(SUM(N76,-N77),0)</f>
        <v>0</v>
      </c>
      <c r="O78" s="178">
        <f t="shared" ref="O78" si="148">MAX(SUM(O76,-O77),0)</f>
        <v>0</v>
      </c>
      <c r="P78" s="178">
        <f t="shared" ref="P78" si="149">MAX(SUM(P76,-P77),0)</f>
        <v>0</v>
      </c>
      <c r="Q78" s="178">
        <f t="shared" ref="Q78" si="150">MAX(SUM(Q76,-Q77),0)</f>
        <v>0</v>
      </c>
      <c r="R78" s="178">
        <f t="shared" ref="R78" si="151">MAX(SUM(R76,-R77),0)</f>
        <v>0</v>
      </c>
      <c r="S78" s="178">
        <f t="shared" ref="S78" si="152">MAX(SUM(S76,-S77),0)</f>
        <v>0</v>
      </c>
      <c r="T78" s="178">
        <f t="shared" ref="T78" si="153">MAX(SUM(T76,-T77),0)</f>
        <v>0</v>
      </c>
      <c r="U78" s="178">
        <f t="shared" ref="U78" si="154">MAX(SUM(U76,-U77),0)</f>
        <v>0</v>
      </c>
      <c r="V78" s="178">
        <f t="shared" ref="V78" si="155">MAX(SUM(V76,-V77),0)</f>
        <v>0</v>
      </c>
      <c r="W78" s="57"/>
      <c r="X78" s="72"/>
      <c r="Z78" s="24" t="s">
        <v>191</v>
      </c>
      <c r="AA78" s="150"/>
      <c r="AB78" s="150"/>
      <c r="AC78" s="40"/>
      <c r="AD78" s="40"/>
      <c r="AE78" s="40"/>
      <c r="AF78" s="40"/>
      <c r="AG78" s="178">
        <f>MAX(SUM(AG76,-AG77),0)</f>
        <v>0</v>
      </c>
      <c r="AH78" s="178">
        <f t="shared" ref="AH78:AS78" si="156">MAX(SUM(AH76,-AH77),0)</f>
        <v>0</v>
      </c>
      <c r="AI78" s="178">
        <f t="shared" si="156"/>
        <v>0</v>
      </c>
      <c r="AJ78" s="178">
        <f t="shared" si="156"/>
        <v>0</v>
      </c>
      <c r="AK78" s="178">
        <f t="shared" si="156"/>
        <v>0</v>
      </c>
      <c r="AL78" s="178">
        <f t="shared" si="156"/>
        <v>0</v>
      </c>
      <c r="AM78" s="178">
        <f t="shared" si="156"/>
        <v>0</v>
      </c>
      <c r="AN78" s="178">
        <f t="shared" si="156"/>
        <v>0</v>
      </c>
      <c r="AO78" s="178">
        <f t="shared" si="156"/>
        <v>0</v>
      </c>
      <c r="AP78" s="178">
        <f t="shared" si="156"/>
        <v>0</v>
      </c>
      <c r="AQ78" s="178">
        <f t="shared" si="156"/>
        <v>0</v>
      </c>
      <c r="AR78" s="178">
        <f t="shared" si="156"/>
        <v>0</v>
      </c>
      <c r="AS78" s="178">
        <f t="shared" si="156"/>
        <v>0</v>
      </c>
      <c r="AT78" s="57"/>
      <c r="AU78" s="72"/>
    </row>
    <row r="79" spans="3:47" ht="15.75" x14ac:dyDescent="0.25">
      <c r="C79" s="24"/>
      <c r="D79" s="40"/>
      <c r="E79" s="40"/>
      <c r="H79" s="40"/>
      <c r="I79" s="40"/>
      <c r="J79" s="19"/>
      <c r="K79" s="19"/>
      <c r="L79" s="19"/>
      <c r="M79" s="19"/>
      <c r="N79" s="19"/>
      <c r="O79" s="19"/>
      <c r="P79" s="19"/>
      <c r="Q79" s="19"/>
      <c r="R79" s="19"/>
      <c r="S79" s="19"/>
      <c r="T79" s="19"/>
      <c r="U79" s="19"/>
      <c r="V79" s="19"/>
      <c r="W79" s="19"/>
      <c r="X79" s="21"/>
      <c r="Z79" s="24"/>
      <c r="AA79" s="150"/>
      <c r="AB79" s="150"/>
      <c r="AC79" s="40"/>
      <c r="AD79" s="40"/>
      <c r="AE79" s="40"/>
      <c r="AF79" s="40"/>
      <c r="AG79" s="19"/>
      <c r="AH79" s="19"/>
      <c r="AI79" s="19"/>
      <c r="AJ79" s="19"/>
      <c r="AK79" s="19"/>
      <c r="AL79" s="19"/>
      <c r="AM79" s="19"/>
      <c r="AN79" s="19"/>
      <c r="AO79" s="19"/>
      <c r="AP79" s="19"/>
      <c r="AQ79" s="19"/>
      <c r="AR79" s="19"/>
      <c r="AS79" s="19"/>
      <c r="AT79" s="19"/>
      <c r="AU79" s="21"/>
    </row>
    <row r="80" spans="3:47" ht="15.75" x14ac:dyDescent="0.25">
      <c r="C80" s="168" t="s">
        <v>169</v>
      </c>
      <c r="D80" s="40"/>
      <c r="E80" s="40"/>
      <c r="H80" s="40"/>
      <c r="I80" s="40"/>
      <c r="J80" s="19"/>
      <c r="K80" s="19"/>
      <c r="L80" s="19"/>
      <c r="M80" s="19"/>
      <c r="N80" s="19"/>
      <c r="O80" s="19"/>
      <c r="P80" s="19"/>
      <c r="Q80" s="19"/>
      <c r="R80" s="19"/>
      <c r="S80" s="19"/>
      <c r="T80" s="19"/>
      <c r="U80" s="19"/>
      <c r="V80" s="19"/>
      <c r="W80" s="19"/>
      <c r="X80" s="21"/>
      <c r="Z80" s="168" t="s">
        <v>169</v>
      </c>
      <c r="AA80" s="150"/>
      <c r="AB80" s="150"/>
      <c r="AC80" s="40"/>
      <c r="AD80" s="40"/>
      <c r="AE80" s="40"/>
      <c r="AF80" s="40"/>
      <c r="AG80" s="19"/>
      <c r="AH80" s="19"/>
      <c r="AI80" s="19"/>
      <c r="AJ80" s="19"/>
      <c r="AK80" s="19"/>
      <c r="AL80" s="19"/>
      <c r="AM80" s="19"/>
      <c r="AN80" s="19"/>
      <c r="AO80" s="19"/>
      <c r="AP80" s="19"/>
      <c r="AQ80" s="19"/>
      <c r="AR80" s="19"/>
      <c r="AS80" s="19"/>
      <c r="AT80" s="19"/>
      <c r="AU80" s="21"/>
    </row>
    <row r="81" spans="3:47" ht="16.5" thickBot="1" x14ac:dyDescent="0.3">
      <c r="C81" s="24" t="s">
        <v>198</v>
      </c>
      <c r="D81" s="40"/>
      <c r="E81" s="40"/>
      <c r="H81" s="40"/>
      <c r="I81" s="40"/>
      <c r="J81" s="19">
        <f>הוצאות!J102</f>
        <v>390250</v>
      </c>
      <c r="K81" s="19">
        <f>הוצאות!K102</f>
        <v>390250</v>
      </c>
      <c r="L81" s="19">
        <f>הוצאות!L102</f>
        <v>390250</v>
      </c>
      <c r="M81" s="19">
        <f>הוצאות!M102</f>
        <v>390250</v>
      </c>
      <c r="N81" s="19">
        <f>הוצאות!N102</f>
        <v>390250</v>
      </c>
      <c r="O81" s="19">
        <f>הוצאות!O102</f>
        <v>390250</v>
      </c>
      <c r="P81" s="19">
        <f>הוצאות!P102</f>
        <v>468300</v>
      </c>
      <c r="Q81" s="19">
        <f>הוצאות!Q102</f>
        <v>546350</v>
      </c>
      <c r="R81" s="19">
        <f>הוצאות!R102</f>
        <v>312200</v>
      </c>
      <c r="S81" s="19">
        <f>הוצאות!S102</f>
        <v>546350</v>
      </c>
      <c r="T81" s="19">
        <f>הוצאות!T102</f>
        <v>624400</v>
      </c>
      <c r="U81" s="19">
        <f>הוצאות!U102</f>
        <v>702450</v>
      </c>
      <c r="V81" s="19">
        <f>הוצאות!V102</f>
        <v>780500</v>
      </c>
      <c r="W81" s="19"/>
      <c r="X81" s="21"/>
      <c r="Z81" s="24" t="s">
        <v>198</v>
      </c>
      <c r="AA81" s="150"/>
      <c r="AB81" s="150"/>
      <c r="AC81" s="40"/>
      <c r="AD81" s="40"/>
      <c r="AE81" s="40"/>
      <c r="AF81" s="40"/>
      <c r="AG81" s="19">
        <f>הוצאות!J104</f>
        <v>390250</v>
      </c>
      <c r="AH81" s="19">
        <f>הוצאות!K104</f>
        <v>390250</v>
      </c>
      <c r="AI81" s="19">
        <f>הוצאות!L104</f>
        <v>390250</v>
      </c>
      <c r="AJ81" s="19">
        <f>הוצאות!M104</f>
        <v>390250</v>
      </c>
      <c r="AK81" s="19">
        <f>הוצאות!N104</f>
        <v>390250</v>
      </c>
      <c r="AL81" s="19">
        <f>הוצאות!O104</f>
        <v>390250</v>
      </c>
      <c r="AM81" s="19">
        <f>הוצאות!P104</f>
        <v>468300</v>
      </c>
      <c r="AN81" s="19">
        <f>הוצאות!Q104</f>
        <v>546350</v>
      </c>
      <c r="AO81" s="19">
        <f>הוצאות!R104</f>
        <v>312200</v>
      </c>
      <c r="AP81" s="19">
        <f>הוצאות!S104</f>
        <v>546350</v>
      </c>
      <c r="AQ81" s="19">
        <f>הוצאות!T104</f>
        <v>624400</v>
      </c>
      <c r="AR81" s="19">
        <f>הוצאות!U104</f>
        <v>702450</v>
      </c>
      <c r="AS81" s="19">
        <f>הוצאות!V104</f>
        <v>780500</v>
      </c>
      <c r="AT81" s="19"/>
      <c r="AU81" s="21"/>
    </row>
    <row r="82" spans="3:47" ht="16.5" thickBot="1" x14ac:dyDescent="0.3">
      <c r="C82" s="24" t="s">
        <v>170</v>
      </c>
      <c r="D82" s="169">
        <f>הנחות!O39</f>
        <v>0.9</v>
      </c>
      <c r="E82" s="169">
        <f>1-D82</f>
        <v>9.9999999999999978E-2</v>
      </c>
      <c r="H82" s="1"/>
      <c r="I82" s="40"/>
      <c r="J82" s="19">
        <f t="shared" ref="J82:V82" si="157">J81*$E$82</f>
        <v>39024.999999999993</v>
      </c>
      <c r="K82" s="19">
        <f t="shared" si="157"/>
        <v>39024.999999999993</v>
      </c>
      <c r="L82" s="19">
        <f t="shared" si="157"/>
        <v>39024.999999999993</v>
      </c>
      <c r="M82" s="19">
        <f t="shared" si="157"/>
        <v>39024.999999999993</v>
      </c>
      <c r="N82" s="19">
        <f t="shared" si="157"/>
        <v>39024.999999999993</v>
      </c>
      <c r="O82" s="19">
        <f t="shared" si="157"/>
        <v>39024.999999999993</v>
      </c>
      <c r="P82" s="19">
        <f t="shared" si="157"/>
        <v>46829.999999999993</v>
      </c>
      <c r="Q82" s="19">
        <f t="shared" si="157"/>
        <v>54634.999999999985</v>
      </c>
      <c r="R82" s="19">
        <f t="shared" si="157"/>
        <v>31219.999999999993</v>
      </c>
      <c r="S82" s="19">
        <f t="shared" si="157"/>
        <v>54634.999999999985</v>
      </c>
      <c r="T82" s="19">
        <f t="shared" si="157"/>
        <v>62439.999999999985</v>
      </c>
      <c r="U82" s="19">
        <f t="shared" si="157"/>
        <v>70244.999999999985</v>
      </c>
      <c r="V82" s="19">
        <f t="shared" si="157"/>
        <v>78049.999999999985</v>
      </c>
      <c r="W82" s="19"/>
      <c r="X82" s="21"/>
      <c r="Z82" s="24" t="s">
        <v>170</v>
      </c>
      <c r="AA82" s="150"/>
      <c r="AB82" s="150"/>
      <c r="AC82" s="169">
        <f>הנחות!O39</f>
        <v>0.9</v>
      </c>
      <c r="AD82" s="169">
        <f>1-AC82</f>
        <v>9.9999999999999978E-2</v>
      </c>
      <c r="AE82" s="1"/>
      <c r="AF82" s="40"/>
      <c r="AG82" s="19">
        <f t="shared" ref="AG82:AS82" si="158">AG81*$E$82</f>
        <v>39024.999999999993</v>
      </c>
      <c r="AH82" s="19">
        <f t="shared" si="158"/>
        <v>39024.999999999993</v>
      </c>
      <c r="AI82" s="19">
        <f t="shared" si="158"/>
        <v>39024.999999999993</v>
      </c>
      <c r="AJ82" s="19">
        <f t="shared" si="158"/>
        <v>39024.999999999993</v>
      </c>
      <c r="AK82" s="19">
        <f t="shared" si="158"/>
        <v>39024.999999999993</v>
      </c>
      <c r="AL82" s="19">
        <f t="shared" si="158"/>
        <v>39024.999999999993</v>
      </c>
      <c r="AM82" s="19">
        <f t="shared" si="158"/>
        <v>46829.999999999993</v>
      </c>
      <c r="AN82" s="19">
        <f t="shared" si="158"/>
        <v>54634.999999999985</v>
      </c>
      <c r="AO82" s="19">
        <f t="shared" si="158"/>
        <v>31219.999999999993</v>
      </c>
      <c r="AP82" s="19">
        <f t="shared" si="158"/>
        <v>54634.999999999985</v>
      </c>
      <c r="AQ82" s="19">
        <f t="shared" si="158"/>
        <v>62439.999999999985</v>
      </c>
      <c r="AR82" s="19">
        <f t="shared" si="158"/>
        <v>70244.999999999985</v>
      </c>
      <c r="AS82" s="19">
        <f t="shared" si="158"/>
        <v>78049.999999999985</v>
      </c>
      <c r="AT82" s="19"/>
      <c r="AU82" s="21"/>
    </row>
    <row r="83" spans="3:47" ht="15.75" x14ac:dyDescent="0.25">
      <c r="C83" s="24" t="s">
        <v>171</v>
      </c>
      <c r="D83" s="40"/>
      <c r="E83" s="40"/>
      <c r="H83" s="40"/>
      <c r="I83" s="40"/>
      <c r="J83" s="19">
        <f>J81-J82</f>
        <v>351225</v>
      </c>
      <c r="K83" s="19">
        <f t="shared" ref="K83:V83" si="159">K81-K82</f>
        <v>351225</v>
      </c>
      <c r="L83" s="19">
        <f t="shared" si="159"/>
        <v>351225</v>
      </c>
      <c r="M83" s="19">
        <f t="shared" si="159"/>
        <v>351225</v>
      </c>
      <c r="N83" s="19">
        <f t="shared" si="159"/>
        <v>351225</v>
      </c>
      <c r="O83" s="19">
        <f t="shared" si="159"/>
        <v>351225</v>
      </c>
      <c r="P83" s="19">
        <f t="shared" si="159"/>
        <v>421470</v>
      </c>
      <c r="Q83" s="19">
        <f t="shared" si="159"/>
        <v>491715</v>
      </c>
      <c r="R83" s="19">
        <f t="shared" si="159"/>
        <v>280980</v>
      </c>
      <c r="S83" s="19">
        <f t="shared" si="159"/>
        <v>491715</v>
      </c>
      <c r="T83" s="19">
        <f t="shared" si="159"/>
        <v>561960</v>
      </c>
      <c r="U83" s="19">
        <f t="shared" si="159"/>
        <v>632205</v>
      </c>
      <c r="V83" s="19">
        <f t="shared" si="159"/>
        <v>702450</v>
      </c>
      <c r="W83" s="19"/>
      <c r="X83" s="21"/>
      <c r="Z83" s="24" t="s">
        <v>171</v>
      </c>
      <c r="AA83" s="150"/>
      <c r="AB83" s="150"/>
      <c r="AC83" s="40"/>
      <c r="AD83" s="40"/>
      <c r="AE83" s="40"/>
      <c r="AF83" s="40"/>
      <c r="AG83" s="19">
        <f>AG81-AG82</f>
        <v>351225</v>
      </c>
      <c r="AH83" s="19">
        <f t="shared" ref="AH83:AS83" si="160">AH81-AH82</f>
        <v>351225</v>
      </c>
      <c r="AI83" s="19">
        <f t="shared" si="160"/>
        <v>351225</v>
      </c>
      <c r="AJ83" s="19">
        <f t="shared" si="160"/>
        <v>351225</v>
      </c>
      <c r="AK83" s="19">
        <f t="shared" si="160"/>
        <v>351225</v>
      </c>
      <c r="AL83" s="19">
        <f t="shared" si="160"/>
        <v>351225</v>
      </c>
      <c r="AM83" s="19">
        <f t="shared" si="160"/>
        <v>421470</v>
      </c>
      <c r="AN83" s="19">
        <f t="shared" si="160"/>
        <v>491715</v>
      </c>
      <c r="AO83" s="19">
        <f t="shared" si="160"/>
        <v>280980</v>
      </c>
      <c r="AP83" s="19">
        <f t="shared" si="160"/>
        <v>491715</v>
      </c>
      <c r="AQ83" s="19">
        <f t="shared" si="160"/>
        <v>561960</v>
      </c>
      <c r="AR83" s="19">
        <f t="shared" si="160"/>
        <v>632205</v>
      </c>
      <c r="AS83" s="19">
        <f t="shared" si="160"/>
        <v>702450</v>
      </c>
      <c r="AT83" s="19"/>
      <c r="AU83" s="21"/>
    </row>
    <row r="84" spans="3:47" ht="16.5" thickBot="1" x14ac:dyDescent="0.3">
      <c r="C84" s="23" t="s">
        <v>173</v>
      </c>
      <c r="D84" s="40"/>
      <c r="E84" s="40"/>
      <c r="H84" s="40"/>
      <c r="I84" s="40"/>
      <c r="J84" s="19"/>
      <c r="K84" s="19"/>
      <c r="L84" s="19"/>
      <c r="M84" s="19"/>
      <c r="N84" s="19"/>
      <c r="O84" s="19"/>
      <c r="P84" s="19"/>
      <c r="Q84" s="19"/>
      <c r="R84" s="19"/>
      <c r="S84" s="19"/>
      <c r="T84" s="19"/>
      <c r="U84" s="19"/>
      <c r="V84" s="19"/>
      <c r="W84" s="19"/>
      <c r="X84" s="21"/>
      <c r="Z84" s="23" t="s">
        <v>173</v>
      </c>
      <c r="AA84" s="150"/>
      <c r="AB84" s="150"/>
      <c r="AC84" s="40"/>
      <c r="AD84" s="40"/>
      <c r="AE84" s="40"/>
      <c r="AF84" s="40"/>
      <c r="AG84" s="19"/>
      <c r="AH84" s="19"/>
      <c r="AI84" s="19"/>
      <c r="AJ84" s="19"/>
      <c r="AK84" s="19"/>
      <c r="AL84" s="19"/>
      <c r="AM84" s="19"/>
      <c r="AN84" s="19"/>
      <c r="AO84" s="19"/>
      <c r="AP84" s="19"/>
      <c r="AQ84" s="19"/>
      <c r="AR84" s="19"/>
      <c r="AS84" s="19"/>
      <c r="AT84" s="19"/>
      <c r="AU84" s="21"/>
    </row>
    <row r="85" spans="3:47" ht="16.5" thickBot="1" x14ac:dyDescent="0.3">
      <c r="C85" s="24" t="s">
        <v>172</v>
      </c>
      <c r="D85" s="40"/>
      <c r="E85" s="170">
        <f>הנחות!O41+E86</f>
        <v>57</v>
      </c>
      <c r="H85" s="40"/>
      <c r="I85" s="40"/>
      <c r="J85" s="173">
        <f t="shared" ref="J85:V85" si="161">IF($E$85=$E$86,J69,DATE(J71,J72+1,J73)+$E$85)</f>
        <v>44070</v>
      </c>
      <c r="K85" s="173">
        <f t="shared" si="161"/>
        <v>44101</v>
      </c>
      <c r="L85" s="173">
        <f t="shared" si="161"/>
        <v>44132</v>
      </c>
      <c r="M85" s="173">
        <f t="shared" si="161"/>
        <v>44162</v>
      </c>
      <c r="N85" s="173">
        <f t="shared" si="161"/>
        <v>44193</v>
      </c>
      <c r="O85" s="173">
        <f t="shared" si="161"/>
        <v>44223</v>
      </c>
      <c r="P85" s="173">
        <f t="shared" si="161"/>
        <v>44254</v>
      </c>
      <c r="Q85" s="173">
        <f t="shared" si="161"/>
        <v>44285</v>
      </c>
      <c r="R85" s="173">
        <f t="shared" si="161"/>
        <v>44313</v>
      </c>
      <c r="S85" s="173">
        <f t="shared" si="161"/>
        <v>44344</v>
      </c>
      <c r="T85" s="173">
        <f t="shared" si="161"/>
        <v>44374</v>
      </c>
      <c r="U85" s="173">
        <f t="shared" si="161"/>
        <v>44405</v>
      </c>
      <c r="V85" s="173">
        <f t="shared" si="161"/>
        <v>44435</v>
      </c>
      <c r="W85" s="173"/>
      <c r="X85" s="21"/>
      <c r="Z85" s="24" t="s">
        <v>172</v>
      </c>
      <c r="AA85" s="150"/>
      <c r="AB85" s="150"/>
      <c r="AC85" s="40"/>
      <c r="AD85" s="170">
        <f>הנחות!O41+AD86</f>
        <v>57</v>
      </c>
      <c r="AE85" s="40"/>
      <c r="AF85" s="40"/>
      <c r="AG85" s="173">
        <f t="shared" ref="AG85:AS85" si="162">IF($AD$85=$AD$86,AG69,DATE(AG71,AG72+1,AG73)+$AD$85)</f>
        <v>44070</v>
      </c>
      <c r="AH85" s="173">
        <f t="shared" si="162"/>
        <v>44101</v>
      </c>
      <c r="AI85" s="173">
        <f t="shared" si="162"/>
        <v>44132</v>
      </c>
      <c r="AJ85" s="173">
        <f t="shared" si="162"/>
        <v>44162</v>
      </c>
      <c r="AK85" s="173">
        <f t="shared" si="162"/>
        <v>44193</v>
      </c>
      <c r="AL85" s="173">
        <f t="shared" si="162"/>
        <v>44223</v>
      </c>
      <c r="AM85" s="173">
        <f t="shared" si="162"/>
        <v>44254</v>
      </c>
      <c r="AN85" s="173">
        <f t="shared" si="162"/>
        <v>44285</v>
      </c>
      <c r="AO85" s="173">
        <f t="shared" si="162"/>
        <v>44313</v>
      </c>
      <c r="AP85" s="173">
        <f t="shared" si="162"/>
        <v>44344</v>
      </c>
      <c r="AQ85" s="173">
        <f t="shared" si="162"/>
        <v>44374</v>
      </c>
      <c r="AR85" s="173">
        <f t="shared" si="162"/>
        <v>44405</v>
      </c>
      <c r="AS85" s="173">
        <f t="shared" si="162"/>
        <v>44435</v>
      </c>
      <c r="AT85" s="173"/>
      <c r="AU85" s="21"/>
    </row>
    <row r="86" spans="3:47" ht="16.5" thickBot="1" x14ac:dyDescent="0.3">
      <c r="C86" s="174">
        <f t="array" ref="C86:C98">TRANSPOSE(J69:V69)</f>
        <v>43983</v>
      </c>
      <c r="D86" s="40"/>
      <c r="E86" s="170">
        <v>-3</v>
      </c>
      <c r="H86" s="40"/>
      <c r="I86" s="40"/>
      <c r="J86" s="19">
        <f t="shared" ref="J86:V86" si="163">IF(AND(J69&lt;=$J$85,K69&gt;$J$85),1,0)*$J$83</f>
        <v>0</v>
      </c>
      <c r="K86" s="19">
        <f t="shared" si="163"/>
        <v>0</v>
      </c>
      <c r="L86" s="19">
        <f t="shared" si="163"/>
        <v>351225</v>
      </c>
      <c r="M86" s="19">
        <f t="shared" si="163"/>
        <v>0</v>
      </c>
      <c r="N86" s="19">
        <f t="shared" si="163"/>
        <v>0</v>
      </c>
      <c r="O86" s="19">
        <f t="shared" si="163"/>
        <v>0</v>
      </c>
      <c r="P86" s="19">
        <f t="shared" si="163"/>
        <v>0</v>
      </c>
      <c r="Q86" s="19">
        <f t="shared" si="163"/>
        <v>0</v>
      </c>
      <c r="R86" s="19">
        <f t="shared" si="163"/>
        <v>0</v>
      </c>
      <c r="S86" s="19">
        <f t="shared" si="163"/>
        <v>0</v>
      </c>
      <c r="T86" s="19">
        <f t="shared" si="163"/>
        <v>0</v>
      </c>
      <c r="U86" s="19">
        <f t="shared" si="163"/>
        <v>0</v>
      </c>
      <c r="V86" s="19">
        <f t="shared" si="163"/>
        <v>0</v>
      </c>
      <c r="W86" s="19"/>
      <c r="X86" s="21"/>
      <c r="Z86" s="174">
        <f t="array" ref="Z86:Z98">TRANSPOSE(AG69:AS69)</f>
        <v>43983</v>
      </c>
      <c r="AA86" s="150"/>
      <c r="AB86" s="150"/>
      <c r="AC86" s="40"/>
      <c r="AD86" s="170">
        <v>-3</v>
      </c>
      <c r="AE86" s="40"/>
      <c r="AF86" s="40"/>
      <c r="AG86" s="19">
        <f t="shared" ref="AG86:AS86" si="164">IF(AND(AG69&lt;=$AG$85,AH69&gt;$AG$85),1,0)*$AG$83</f>
        <v>0</v>
      </c>
      <c r="AH86" s="19">
        <f t="shared" si="164"/>
        <v>0</v>
      </c>
      <c r="AI86" s="19">
        <f t="shared" si="164"/>
        <v>351225</v>
      </c>
      <c r="AJ86" s="19">
        <f t="shared" si="164"/>
        <v>0</v>
      </c>
      <c r="AK86" s="19">
        <f t="shared" si="164"/>
        <v>0</v>
      </c>
      <c r="AL86" s="19">
        <f t="shared" si="164"/>
        <v>0</v>
      </c>
      <c r="AM86" s="19">
        <f t="shared" si="164"/>
        <v>0</v>
      </c>
      <c r="AN86" s="19">
        <f t="shared" si="164"/>
        <v>0</v>
      </c>
      <c r="AO86" s="19">
        <f t="shared" si="164"/>
        <v>0</v>
      </c>
      <c r="AP86" s="19">
        <f t="shared" si="164"/>
        <v>0</v>
      </c>
      <c r="AQ86" s="19">
        <f t="shared" si="164"/>
        <v>0</v>
      </c>
      <c r="AR86" s="19">
        <f t="shared" si="164"/>
        <v>0</v>
      </c>
      <c r="AS86" s="19">
        <f t="shared" si="164"/>
        <v>0</v>
      </c>
      <c r="AT86" s="19"/>
      <c r="AU86" s="21"/>
    </row>
    <row r="87" spans="3:47" ht="15.75" x14ac:dyDescent="0.25">
      <c r="C87" s="174">
        <v>44013</v>
      </c>
      <c r="D87" s="150"/>
      <c r="E87" s="150"/>
      <c r="F87" s="40"/>
      <c r="G87" s="40"/>
      <c r="H87" s="40"/>
      <c r="I87" s="40"/>
      <c r="J87" s="19">
        <f t="shared" ref="J87:V87" si="165">IF(AND(J69&lt;=$K$85,K69&gt;$K$85),1,0)*$K$83</f>
        <v>0</v>
      </c>
      <c r="K87" s="19">
        <f t="shared" si="165"/>
        <v>0</v>
      </c>
      <c r="L87" s="19">
        <f t="shared" si="165"/>
        <v>0</v>
      </c>
      <c r="M87" s="19">
        <f t="shared" si="165"/>
        <v>351225</v>
      </c>
      <c r="N87" s="19">
        <f t="shared" si="165"/>
        <v>0</v>
      </c>
      <c r="O87" s="19">
        <f t="shared" si="165"/>
        <v>0</v>
      </c>
      <c r="P87" s="19">
        <f t="shared" si="165"/>
        <v>0</v>
      </c>
      <c r="Q87" s="19">
        <f t="shared" si="165"/>
        <v>0</v>
      </c>
      <c r="R87" s="19">
        <f t="shared" si="165"/>
        <v>0</v>
      </c>
      <c r="S87" s="19">
        <f t="shared" si="165"/>
        <v>0</v>
      </c>
      <c r="T87" s="19">
        <f t="shared" si="165"/>
        <v>0</v>
      </c>
      <c r="U87" s="19">
        <f t="shared" si="165"/>
        <v>0</v>
      </c>
      <c r="V87" s="19">
        <f t="shared" si="165"/>
        <v>0</v>
      </c>
      <c r="W87" s="19"/>
      <c r="X87" s="21"/>
      <c r="Z87" s="174">
        <v>44013</v>
      </c>
      <c r="AA87" s="150"/>
      <c r="AB87" s="150"/>
      <c r="AC87" s="40"/>
      <c r="AD87" s="40"/>
      <c r="AE87" s="40"/>
      <c r="AF87" s="40"/>
      <c r="AG87" s="19">
        <f t="shared" ref="AG87:AS87" si="166">IF(AND(AG69&lt;=$AH$85,AH69&gt;$AH$85),1,0)*$AH$83</f>
        <v>0</v>
      </c>
      <c r="AH87" s="19">
        <f t="shared" si="166"/>
        <v>0</v>
      </c>
      <c r="AI87" s="19">
        <f t="shared" si="166"/>
        <v>0</v>
      </c>
      <c r="AJ87" s="19">
        <f t="shared" si="166"/>
        <v>351225</v>
      </c>
      <c r="AK87" s="19">
        <f t="shared" si="166"/>
        <v>0</v>
      </c>
      <c r="AL87" s="19">
        <f t="shared" si="166"/>
        <v>0</v>
      </c>
      <c r="AM87" s="19">
        <f t="shared" si="166"/>
        <v>0</v>
      </c>
      <c r="AN87" s="19">
        <f t="shared" si="166"/>
        <v>0</v>
      </c>
      <c r="AO87" s="19">
        <f t="shared" si="166"/>
        <v>0</v>
      </c>
      <c r="AP87" s="19">
        <f t="shared" si="166"/>
        <v>0</v>
      </c>
      <c r="AQ87" s="19">
        <f t="shared" si="166"/>
        <v>0</v>
      </c>
      <c r="AR87" s="19">
        <f t="shared" si="166"/>
        <v>0</v>
      </c>
      <c r="AS87" s="19">
        <f t="shared" si="166"/>
        <v>0</v>
      </c>
      <c r="AT87" s="19"/>
      <c r="AU87" s="21"/>
    </row>
    <row r="88" spans="3:47" ht="15.75" x14ac:dyDescent="0.25">
      <c r="C88" s="174">
        <v>44044</v>
      </c>
      <c r="D88" s="150"/>
      <c r="E88" s="150"/>
      <c r="F88" s="40"/>
      <c r="G88" s="40"/>
      <c r="H88" s="40"/>
      <c r="I88" s="40"/>
      <c r="J88" s="19">
        <f t="shared" ref="J88:V88" si="167">IF(AND(J69&lt;=$L$85,K69&gt;$L$85),1,0)*$L$83</f>
        <v>0</v>
      </c>
      <c r="K88" s="19">
        <f t="shared" si="167"/>
        <v>0</v>
      </c>
      <c r="L88" s="19">
        <f t="shared" si="167"/>
        <v>0</v>
      </c>
      <c r="M88" s="19">
        <f t="shared" si="167"/>
        <v>0</v>
      </c>
      <c r="N88" s="19">
        <f t="shared" si="167"/>
        <v>351225</v>
      </c>
      <c r="O88" s="19">
        <f t="shared" si="167"/>
        <v>0</v>
      </c>
      <c r="P88" s="19">
        <f t="shared" si="167"/>
        <v>0</v>
      </c>
      <c r="Q88" s="19">
        <f t="shared" si="167"/>
        <v>0</v>
      </c>
      <c r="R88" s="19">
        <f t="shared" si="167"/>
        <v>0</v>
      </c>
      <c r="S88" s="19">
        <f t="shared" si="167"/>
        <v>0</v>
      </c>
      <c r="T88" s="19">
        <f t="shared" si="167"/>
        <v>0</v>
      </c>
      <c r="U88" s="19">
        <f t="shared" si="167"/>
        <v>0</v>
      </c>
      <c r="V88" s="19">
        <f t="shared" si="167"/>
        <v>0</v>
      </c>
      <c r="W88" s="19"/>
      <c r="X88" s="21"/>
      <c r="Z88" s="174">
        <v>44044</v>
      </c>
      <c r="AA88" s="150"/>
      <c r="AB88" s="150"/>
      <c r="AC88" s="40"/>
      <c r="AD88" s="40"/>
      <c r="AE88" s="40"/>
      <c r="AF88" s="40"/>
      <c r="AG88" s="19">
        <f t="shared" ref="AG88:AS88" si="168">IF(AND(AG69&lt;=$AI$85,AH69&gt;$AI$85),1,0)*$AI$83</f>
        <v>0</v>
      </c>
      <c r="AH88" s="19">
        <f t="shared" si="168"/>
        <v>0</v>
      </c>
      <c r="AI88" s="19">
        <f t="shared" si="168"/>
        <v>0</v>
      </c>
      <c r="AJ88" s="19">
        <f t="shared" si="168"/>
        <v>0</v>
      </c>
      <c r="AK88" s="19">
        <f t="shared" si="168"/>
        <v>351225</v>
      </c>
      <c r="AL88" s="19">
        <f t="shared" si="168"/>
        <v>0</v>
      </c>
      <c r="AM88" s="19">
        <f t="shared" si="168"/>
        <v>0</v>
      </c>
      <c r="AN88" s="19">
        <f t="shared" si="168"/>
        <v>0</v>
      </c>
      <c r="AO88" s="19">
        <f t="shared" si="168"/>
        <v>0</v>
      </c>
      <c r="AP88" s="19">
        <f t="shared" si="168"/>
        <v>0</v>
      </c>
      <c r="AQ88" s="19">
        <f t="shared" si="168"/>
        <v>0</v>
      </c>
      <c r="AR88" s="19">
        <f t="shared" si="168"/>
        <v>0</v>
      </c>
      <c r="AS88" s="19">
        <f t="shared" si="168"/>
        <v>0</v>
      </c>
      <c r="AT88" s="19"/>
      <c r="AU88" s="21"/>
    </row>
    <row r="89" spans="3:47" ht="15.75" x14ac:dyDescent="0.25">
      <c r="C89" s="174">
        <v>44075</v>
      </c>
      <c r="D89" s="150"/>
      <c r="E89" s="150"/>
      <c r="F89" s="40"/>
      <c r="G89" s="40"/>
      <c r="H89" s="40"/>
      <c r="I89" s="40"/>
      <c r="J89" s="19">
        <f t="shared" ref="J89:V89" si="169">IF(AND(J69&lt;=$M$85,K69&gt;$M$85),1,0)*$M$83</f>
        <v>0</v>
      </c>
      <c r="K89" s="19">
        <f t="shared" si="169"/>
        <v>0</v>
      </c>
      <c r="L89" s="19">
        <f t="shared" si="169"/>
        <v>0</v>
      </c>
      <c r="M89" s="19">
        <f t="shared" si="169"/>
        <v>0</v>
      </c>
      <c r="N89" s="19">
        <f t="shared" si="169"/>
        <v>0</v>
      </c>
      <c r="O89" s="19">
        <f t="shared" si="169"/>
        <v>351225</v>
      </c>
      <c r="P89" s="19">
        <f t="shared" si="169"/>
        <v>0</v>
      </c>
      <c r="Q89" s="19">
        <f t="shared" si="169"/>
        <v>0</v>
      </c>
      <c r="R89" s="19">
        <f t="shared" si="169"/>
        <v>0</v>
      </c>
      <c r="S89" s="19">
        <f t="shared" si="169"/>
        <v>0</v>
      </c>
      <c r="T89" s="19">
        <f t="shared" si="169"/>
        <v>0</v>
      </c>
      <c r="U89" s="19">
        <f t="shared" si="169"/>
        <v>0</v>
      </c>
      <c r="V89" s="19">
        <f t="shared" si="169"/>
        <v>0</v>
      </c>
      <c r="W89" s="19"/>
      <c r="X89" s="21"/>
      <c r="Z89" s="174">
        <v>44075</v>
      </c>
      <c r="AA89" s="150"/>
      <c r="AB89" s="150"/>
      <c r="AC89" s="40"/>
      <c r="AD89" s="40"/>
      <c r="AE89" s="40"/>
      <c r="AF89" s="40"/>
      <c r="AG89" s="19">
        <f t="shared" ref="AG89:AS89" si="170">IF(AND(AG69&lt;=$AJ$85,AH69&gt;$AJ$85),1,0)*$AJ$83</f>
        <v>0</v>
      </c>
      <c r="AH89" s="19">
        <f t="shared" si="170"/>
        <v>0</v>
      </c>
      <c r="AI89" s="19">
        <f t="shared" si="170"/>
        <v>0</v>
      </c>
      <c r="AJ89" s="19">
        <f t="shared" si="170"/>
        <v>0</v>
      </c>
      <c r="AK89" s="19">
        <f t="shared" si="170"/>
        <v>0</v>
      </c>
      <c r="AL89" s="19">
        <f t="shared" si="170"/>
        <v>351225</v>
      </c>
      <c r="AM89" s="19">
        <f t="shared" si="170"/>
        <v>0</v>
      </c>
      <c r="AN89" s="19">
        <f t="shared" si="170"/>
        <v>0</v>
      </c>
      <c r="AO89" s="19">
        <f t="shared" si="170"/>
        <v>0</v>
      </c>
      <c r="AP89" s="19">
        <f t="shared" si="170"/>
        <v>0</v>
      </c>
      <c r="AQ89" s="19">
        <f t="shared" si="170"/>
        <v>0</v>
      </c>
      <c r="AR89" s="19">
        <f t="shared" si="170"/>
        <v>0</v>
      </c>
      <c r="AS89" s="19">
        <f t="shared" si="170"/>
        <v>0</v>
      </c>
      <c r="AT89" s="19"/>
      <c r="AU89" s="21"/>
    </row>
    <row r="90" spans="3:47" ht="15.75" x14ac:dyDescent="0.25">
      <c r="C90" s="174">
        <v>44105</v>
      </c>
      <c r="D90" s="150"/>
      <c r="E90" s="150"/>
      <c r="F90" s="40"/>
      <c r="G90" s="40"/>
      <c r="H90" s="40"/>
      <c r="I90" s="40"/>
      <c r="J90" s="19">
        <f t="shared" ref="J90:V90" si="171">IF(AND(J69&lt;=$N$85,K69&gt;$N$85),1,0)*$N$83</f>
        <v>0</v>
      </c>
      <c r="K90" s="19">
        <f t="shared" si="171"/>
        <v>0</v>
      </c>
      <c r="L90" s="19">
        <f t="shared" si="171"/>
        <v>0</v>
      </c>
      <c r="M90" s="19">
        <f t="shared" si="171"/>
        <v>0</v>
      </c>
      <c r="N90" s="19">
        <f t="shared" si="171"/>
        <v>0</v>
      </c>
      <c r="O90" s="19">
        <f t="shared" si="171"/>
        <v>0</v>
      </c>
      <c r="P90" s="19">
        <f t="shared" si="171"/>
        <v>351225</v>
      </c>
      <c r="Q90" s="19">
        <f t="shared" si="171"/>
        <v>0</v>
      </c>
      <c r="R90" s="19">
        <f t="shared" si="171"/>
        <v>0</v>
      </c>
      <c r="S90" s="19">
        <f t="shared" si="171"/>
        <v>0</v>
      </c>
      <c r="T90" s="19">
        <f t="shared" si="171"/>
        <v>0</v>
      </c>
      <c r="U90" s="19">
        <f t="shared" si="171"/>
        <v>0</v>
      </c>
      <c r="V90" s="19">
        <f t="shared" si="171"/>
        <v>0</v>
      </c>
      <c r="W90" s="19"/>
      <c r="X90" s="21"/>
      <c r="Z90" s="174">
        <v>44105</v>
      </c>
      <c r="AA90" s="150"/>
      <c r="AB90" s="150"/>
      <c r="AC90" s="40"/>
      <c r="AD90" s="40"/>
      <c r="AE90" s="40"/>
      <c r="AF90" s="40"/>
      <c r="AG90" s="19">
        <f t="shared" ref="AG90:AS90" si="172">IF(AND(AG69&lt;=$AK$85,AH69&gt;$AK$85),1,0)*$AK$83</f>
        <v>0</v>
      </c>
      <c r="AH90" s="19">
        <f t="shared" si="172"/>
        <v>0</v>
      </c>
      <c r="AI90" s="19">
        <f t="shared" si="172"/>
        <v>0</v>
      </c>
      <c r="AJ90" s="19">
        <f t="shared" si="172"/>
        <v>0</v>
      </c>
      <c r="AK90" s="19">
        <f t="shared" si="172"/>
        <v>0</v>
      </c>
      <c r="AL90" s="19">
        <f t="shared" si="172"/>
        <v>0</v>
      </c>
      <c r="AM90" s="19">
        <f t="shared" si="172"/>
        <v>351225</v>
      </c>
      <c r="AN90" s="19">
        <f t="shared" si="172"/>
        <v>0</v>
      </c>
      <c r="AO90" s="19">
        <f t="shared" si="172"/>
        <v>0</v>
      </c>
      <c r="AP90" s="19">
        <f t="shared" si="172"/>
        <v>0</v>
      </c>
      <c r="AQ90" s="19">
        <f t="shared" si="172"/>
        <v>0</v>
      </c>
      <c r="AR90" s="19">
        <f t="shared" si="172"/>
        <v>0</v>
      </c>
      <c r="AS90" s="19">
        <f t="shared" si="172"/>
        <v>0</v>
      </c>
      <c r="AT90" s="19"/>
      <c r="AU90" s="21"/>
    </row>
    <row r="91" spans="3:47" ht="15.75" x14ac:dyDescent="0.25">
      <c r="C91" s="174">
        <v>44136</v>
      </c>
      <c r="D91" s="150"/>
      <c r="E91" s="150"/>
      <c r="F91" s="40"/>
      <c r="G91" s="40"/>
      <c r="H91" s="40"/>
      <c r="I91" s="40"/>
      <c r="J91" s="19">
        <f t="shared" ref="J91:V91" si="173">IF(AND(J69&lt;=$O$85,K69&gt;$O$85),1,0)*$O$83</f>
        <v>0</v>
      </c>
      <c r="K91" s="19">
        <f t="shared" si="173"/>
        <v>0</v>
      </c>
      <c r="L91" s="19">
        <f t="shared" si="173"/>
        <v>0</v>
      </c>
      <c r="M91" s="19">
        <f t="shared" si="173"/>
        <v>0</v>
      </c>
      <c r="N91" s="19">
        <f t="shared" si="173"/>
        <v>0</v>
      </c>
      <c r="O91" s="19">
        <f t="shared" si="173"/>
        <v>0</v>
      </c>
      <c r="P91" s="19">
        <f t="shared" si="173"/>
        <v>0</v>
      </c>
      <c r="Q91" s="19">
        <f t="shared" si="173"/>
        <v>351225</v>
      </c>
      <c r="R91" s="19">
        <f t="shared" si="173"/>
        <v>0</v>
      </c>
      <c r="S91" s="19">
        <f t="shared" si="173"/>
        <v>0</v>
      </c>
      <c r="T91" s="19">
        <f t="shared" si="173"/>
        <v>0</v>
      </c>
      <c r="U91" s="19">
        <f t="shared" si="173"/>
        <v>0</v>
      </c>
      <c r="V91" s="19">
        <f t="shared" si="173"/>
        <v>0</v>
      </c>
      <c r="W91" s="19"/>
      <c r="X91" s="21"/>
      <c r="Z91" s="174">
        <v>44136</v>
      </c>
      <c r="AA91" s="150"/>
      <c r="AB91" s="150"/>
      <c r="AC91" s="40"/>
      <c r="AD91" s="40"/>
      <c r="AE91" s="40"/>
      <c r="AF91" s="40"/>
      <c r="AG91" s="19">
        <f t="shared" ref="AG91:AS91" si="174">IF(AND(AG69&lt;=$AL$85,AH69&gt;$AL$85),1,0)*$AL$83</f>
        <v>0</v>
      </c>
      <c r="AH91" s="19">
        <f t="shared" si="174"/>
        <v>0</v>
      </c>
      <c r="AI91" s="19">
        <f t="shared" si="174"/>
        <v>0</v>
      </c>
      <c r="AJ91" s="19">
        <f t="shared" si="174"/>
        <v>0</v>
      </c>
      <c r="AK91" s="19">
        <f t="shared" si="174"/>
        <v>0</v>
      </c>
      <c r="AL91" s="19">
        <f t="shared" si="174"/>
        <v>0</v>
      </c>
      <c r="AM91" s="19">
        <f t="shared" si="174"/>
        <v>0</v>
      </c>
      <c r="AN91" s="19">
        <f t="shared" si="174"/>
        <v>351225</v>
      </c>
      <c r="AO91" s="19">
        <f t="shared" si="174"/>
        <v>0</v>
      </c>
      <c r="AP91" s="19">
        <f t="shared" si="174"/>
        <v>0</v>
      </c>
      <c r="AQ91" s="19">
        <f t="shared" si="174"/>
        <v>0</v>
      </c>
      <c r="AR91" s="19">
        <f t="shared" si="174"/>
        <v>0</v>
      </c>
      <c r="AS91" s="19">
        <f t="shared" si="174"/>
        <v>0</v>
      </c>
      <c r="AT91" s="19"/>
      <c r="AU91" s="21"/>
    </row>
    <row r="92" spans="3:47" ht="15.75" x14ac:dyDescent="0.25">
      <c r="C92" s="174">
        <v>44166</v>
      </c>
      <c r="D92" s="150"/>
      <c r="E92" s="150"/>
      <c r="F92" s="40"/>
      <c r="G92" s="40"/>
      <c r="H92" s="40"/>
      <c r="I92" s="40"/>
      <c r="J92" s="19">
        <f t="shared" ref="J92:V92" si="175">IF(AND(J69&lt;=$P$85,K69&gt;$P$85),1,0)*$P$83</f>
        <v>0</v>
      </c>
      <c r="K92" s="19">
        <f t="shared" si="175"/>
        <v>0</v>
      </c>
      <c r="L92" s="19">
        <f t="shared" si="175"/>
        <v>0</v>
      </c>
      <c r="M92" s="19">
        <f t="shared" si="175"/>
        <v>0</v>
      </c>
      <c r="N92" s="19">
        <f t="shared" si="175"/>
        <v>0</v>
      </c>
      <c r="O92" s="19">
        <f t="shared" si="175"/>
        <v>0</v>
      </c>
      <c r="P92" s="19">
        <f t="shared" si="175"/>
        <v>0</v>
      </c>
      <c r="Q92" s="19">
        <f t="shared" si="175"/>
        <v>0</v>
      </c>
      <c r="R92" s="19">
        <f t="shared" si="175"/>
        <v>421470</v>
      </c>
      <c r="S92" s="19">
        <f t="shared" si="175"/>
        <v>0</v>
      </c>
      <c r="T92" s="19">
        <f t="shared" si="175"/>
        <v>0</v>
      </c>
      <c r="U92" s="19">
        <f t="shared" si="175"/>
        <v>0</v>
      </c>
      <c r="V92" s="19">
        <f t="shared" si="175"/>
        <v>0</v>
      </c>
      <c r="W92" s="19"/>
      <c r="X92" s="21"/>
      <c r="Z92" s="174">
        <v>44166</v>
      </c>
      <c r="AA92" s="150"/>
      <c r="AB92" s="150"/>
      <c r="AC92" s="40"/>
      <c r="AD92" s="40"/>
      <c r="AE92" s="40"/>
      <c r="AF92" s="40"/>
      <c r="AG92" s="19">
        <f t="shared" ref="AG92:AS92" si="176">IF(AND(AG69&lt;=$AM$85,AH69&gt;$AM$85),1,0)*$AM$83</f>
        <v>0</v>
      </c>
      <c r="AH92" s="19">
        <f t="shared" si="176"/>
        <v>0</v>
      </c>
      <c r="AI92" s="19">
        <f t="shared" si="176"/>
        <v>0</v>
      </c>
      <c r="AJ92" s="19">
        <f t="shared" si="176"/>
        <v>0</v>
      </c>
      <c r="AK92" s="19">
        <f t="shared" si="176"/>
        <v>0</v>
      </c>
      <c r="AL92" s="19">
        <f t="shared" si="176"/>
        <v>0</v>
      </c>
      <c r="AM92" s="19">
        <f t="shared" si="176"/>
        <v>0</v>
      </c>
      <c r="AN92" s="19">
        <f t="shared" si="176"/>
        <v>0</v>
      </c>
      <c r="AO92" s="19">
        <f t="shared" si="176"/>
        <v>421470</v>
      </c>
      <c r="AP92" s="19">
        <f t="shared" si="176"/>
        <v>0</v>
      </c>
      <c r="AQ92" s="19">
        <f t="shared" si="176"/>
        <v>0</v>
      </c>
      <c r="AR92" s="19">
        <f t="shared" si="176"/>
        <v>0</v>
      </c>
      <c r="AS92" s="19">
        <f t="shared" si="176"/>
        <v>0</v>
      </c>
      <c r="AT92" s="19"/>
      <c r="AU92" s="21"/>
    </row>
    <row r="93" spans="3:47" ht="15.75" x14ac:dyDescent="0.25">
      <c r="C93" s="174">
        <v>44197</v>
      </c>
      <c r="D93" s="150"/>
      <c r="E93" s="150"/>
      <c r="F93" s="40"/>
      <c r="G93" s="40"/>
      <c r="H93" s="40"/>
      <c r="I93" s="40"/>
      <c r="J93" s="19">
        <f t="shared" ref="J93:V93" si="177">IF(AND(J69&lt;=$Q$85,K69&gt;$Q$85),1,0)*$Q$83</f>
        <v>0</v>
      </c>
      <c r="K93" s="19">
        <f t="shared" si="177"/>
        <v>0</v>
      </c>
      <c r="L93" s="19">
        <f t="shared" si="177"/>
        <v>0</v>
      </c>
      <c r="M93" s="19">
        <f t="shared" si="177"/>
        <v>0</v>
      </c>
      <c r="N93" s="19">
        <f t="shared" si="177"/>
        <v>0</v>
      </c>
      <c r="O93" s="19">
        <f t="shared" si="177"/>
        <v>0</v>
      </c>
      <c r="P93" s="19">
        <f t="shared" si="177"/>
        <v>0</v>
      </c>
      <c r="Q93" s="19">
        <f t="shared" si="177"/>
        <v>0</v>
      </c>
      <c r="R93" s="19">
        <f t="shared" si="177"/>
        <v>0</v>
      </c>
      <c r="S93" s="19">
        <f t="shared" si="177"/>
        <v>491715</v>
      </c>
      <c r="T93" s="19">
        <f t="shared" si="177"/>
        <v>0</v>
      </c>
      <c r="U93" s="19">
        <f t="shared" si="177"/>
        <v>0</v>
      </c>
      <c r="V93" s="19">
        <f t="shared" si="177"/>
        <v>0</v>
      </c>
      <c r="W93" s="19"/>
      <c r="X93" s="21"/>
      <c r="Z93" s="174">
        <v>44197</v>
      </c>
      <c r="AA93" s="150"/>
      <c r="AB93" s="150"/>
      <c r="AC93" s="40"/>
      <c r="AD93" s="40"/>
      <c r="AE93" s="40"/>
      <c r="AF93" s="40"/>
      <c r="AG93" s="19">
        <f t="shared" ref="AG93:AS93" si="178">IF(AND(AG69&lt;=$AN$85,AH69&gt;$AN$85),1,0)*$AN$83</f>
        <v>0</v>
      </c>
      <c r="AH93" s="19">
        <f t="shared" si="178"/>
        <v>0</v>
      </c>
      <c r="AI93" s="19">
        <f t="shared" si="178"/>
        <v>0</v>
      </c>
      <c r="AJ93" s="19">
        <f t="shared" si="178"/>
        <v>0</v>
      </c>
      <c r="AK93" s="19">
        <f t="shared" si="178"/>
        <v>0</v>
      </c>
      <c r="AL93" s="19">
        <f t="shared" si="178"/>
        <v>0</v>
      </c>
      <c r="AM93" s="19">
        <f t="shared" si="178"/>
        <v>0</v>
      </c>
      <c r="AN93" s="19">
        <f t="shared" si="178"/>
        <v>0</v>
      </c>
      <c r="AO93" s="19">
        <f t="shared" si="178"/>
        <v>0</v>
      </c>
      <c r="AP93" s="19">
        <f t="shared" si="178"/>
        <v>491715</v>
      </c>
      <c r="AQ93" s="19">
        <f t="shared" si="178"/>
        <v>0</v>
      </c>
      <c r="AR93" s="19">
        <f t="shared" si="178"/>
        <v>0</v>
      </c>
      <c r="AS93" s="19">
        <f t="shared" si="178"/>
        <v>0</v>
      </c>
      <c r="AT93" s="19"/>
      <c r="AU93" s="21"/>
    </row>
    <row r="94" spans="3:47" ht="15.75" x14ac:dyDescent="0.25">
      <c r="C94" s="174">
        <v>44228</v>
      </c>
      <c r="D94" s="150"/>
      <c r="E94" s="150"/>
      <c r="F94" s="40"/>
      <c r="G94" s="40"/>
      <c r="H94" s="40"/>
      <c r="I94" s="40"/>
      <c r="J94" s="19">
        <f t="shared" ref="J94:V94" si="179">IF(AND(J69&lt;=$R$85,K69&gt;$R$85),1,0)*$R$83</f>
        <v>0</v>
      </c>
      <c r="K94" s="19">
        <f t="shared" si="179"/>
        <v>0</v>
      </c>
      <c r="L94" s="19">
        <f t="shared" si="179"/>
        <v>0</v>
      </c>
      <c r="M94" s="19">
        <f t="shared" si="179"/>
        <v>0</v>
      </c>
      <c r="N94" s="19">
        <f t="shared" si="179"/>
        <v>0</v>
      </c>
      <c r="O94" s="19">
        <f t="shared" si="179"/>
        <v>0</v>
      </c>
      <c r="P94" s="19">
        <f t="shared" si="179"/>
        <v>0</v>
      </c>
      <c r="Q94" s="19">
        <f t="shared" si="179"/>
        <v>0</v>
      </c>
      <c r="R94" s="19">
        <f t="shared" si="179"/>
        <v>0</v>
      </c>
      <c r="S94" s="19">
        <f t="shared" si="179"/>
        <v>0</v>
      </c>
      <c r="T94" s="19">
        <f t="shared" si="179"/>
        <v>280980</v>
      </c>
      <c r="U94" s="19">
        <f t="shared" si="179"/>
        <v>0</v>
      </c>
      <c r="V94" s="19">
        <f t="shared" si="179"/>
        <v>0</v>
      </c>
      <c r="W94" s="19"/>
      <c r="X94" s="21"/>
      <c r="Z94" s="174">
        <v>44228</v>
      </c>
      <c r="AA94" s="150"/>
      <c r="AB94" s="150"/>
      <c r="AC94" s="40"/>
      <c r="AD94" s="40"/>
      <c r="AE94" s="40"/>
      <c r="AF94" s="40"/>
      <c r="AG94" s="19">
        <f t="shared" ref="AG94:AS94" si="180">IF(AND(AG69&lt;=$AO$85,AH69&gt;$AO$85),1,0)*$AO$83</f>
        <v>0</v>
      </c>
      <c r="AH94" s="19">
        <f t="shared" si="180"/>
        <v>0</v>
      </c>
      <c r="AI94" s="19">
        <f t="shared" si="180"/>
        <v>0</v>
      </c>
      <c r="AJ94" s="19">
        <f t="shared" si="180"/>
        <v>0</v>
      </c>
      <c r="AK94" s="19">
        <f t="shared" si="180"/>
        <v>0</v>
      </c>
      <c r="AL94" s="19">
        <f t="shared" si="180"/>
        <v>0</v>
      </c>
      <c r="AM94" s="19">
        <f t="shared" si="180"/>
        <v>0</v>
      </c>
      <c r="AN94" s="19">
        <f t="shared" si="180"/>
        <v>0</v>
      </c>
      <c r="AO94" s="19">
        <f t="shared" si="180"/>
        <v>0</v>
      </c>
      <c r="AP94" s="19">
        <f t="shared" si="180"/>
        <v>0</v>
      </c>
      <c r="AQ94" s="19">
        <f t="shared" si="180"/>
        <v>280980</v>
      </c>
      <c r="AR94" s="19">
        <f t="shared" si="180"/>
        <v>0</v>
      </c>
      <c r="AS94" s="19">
        <f t="shared" si="180"/>
        <v>0</v>
      </c>
      <c r="AT94" s="19"/>
      <c r="AU94" s="21"/>
    </row>
    <row r="95" spans="3:47" ht="15.75" x14ac:dyDescent="0.25">
      <c r="C95" s="174">
        <v>44256</v>
      </c>
      <c r="D95" s="150"/>
      <c r="E95" s="150"/>
      <c r="F95" s="40"/>
      <c r="G95" s="40"/>
      <c r="H95" s="40"/>
      <c r="I95" s="40"/>
      <c r="J95" s="19">
        <f t="shared" ref="J95:V95" si="181">IF(AND(J69&lt;=$S$85,K69&gt;$S$85),1,0)*$S$83</f>
        <v>0</v>
      </c>
      <c r="K95" s="19">
        <f t="shared" si="181"/>
        <v>0</v>
      </c>
      <c r="L95" s="19">
        <f t="shared" si="181"/>
        <v>0</v>
      </c>
      <c r="M95" s="19">
        <f t="shared" si="181"/>
        <v>0</v>
      </c>
      <c r="N95" s="19">
        <f t="shared" si="181"/>
        <v>0</v>
      </c>
      <c r="O95" s="19">
        <f t="shared" si="181"/>
        <v>0</v>
      </c>
      <c r="P95" s="19">
        <f t="shared" si="181"/>
        <v>0</v>
      </c>
      <c r="Q95" s="19">
        <f t="shared" si="181"/>
        <v>0</v>
      </c>
      <c r="R95" s="19">
        <f t="shared" si="181"/>
        <v>0</v>
      </c>
      <c r="S95" s="19">
        <f t="shared" si="181"/>
        <v>0</v>
      </c>
      <c r="T95" s="19">
        <f t="shared" si="181"/>
        <v>0</v>
      </c>
      <c r="U95" s="19">
        <f t="shared" si="181"/>
        <v>491715</v>
      </c>
      <c r="V95" s="19">
        <f t="shared" si="181"/>
        <v>0</v>
      </c>
      <c r="W95" s="19"/>
      <c r="X95" s="21"/>
      <c r="Z95" s="174">
        <v>44256</v>
      </c>
      <c r="AA95" s="150"/>
      <c r="AB95" s="150"/>
      <c r="AC95" s="40"/>
      <c r="AD95" s="40"/>
      <c r="AE95" s="40"/>
      <c r="AF95" s="40"/>
      <c r="AG95" s="19">
        <f t="shared" ref="AG95:AS95" si="182">IF(AND(AG69&lt;=$AP$85,AH69&gt;$AP$85),1,0)*$AP$83</f>
        <v>0</v>
      </c>
      <c r="AH95" s="19">
        <f t="shared" si="182"/>
        <v>0</v>
      </c>
      <c r="AI95" s="19">
        <f t="shared" si="182"/>
        <v>0</v>
      </c>
      <c r="AJ95" s="19">
        <f t="shared" si="182"/>
        <v>0</v>
      </c>
      <c r="AK95" s="19">
        <f t="shared" si="182"/>
        <v>0</v>
      </c>
      <c r="AL95" s="19">
        <f t="shared" si="182"/>
        <v>0</v>
      </c>
      <c r="AM95" s="19">
        <f t="shared" si="182"/>
        <v>0</v>
      </c>
      <c r="AN95" s="19">
        <f t="shared" si="182"/>
        <v>0</v>
      </c>
      <c r="AO95" s="19">
        <f t="shared" si="182"/>
        <v>0</v>
      </c>
      <c r="AP95" s="19">
        <f t="shared" si="182"/>
        <v>0</v>
      </c>
      <c r="AQ95" s="19">
        <f t="shared" si="182"/>
        <v>0</v>
      </c>
      <c r="AR95" s="19">
        <f t="shared" si="182"/>
        <v>491715</v>
      </c>
      <c r="AS95" s="19">
        <f t="shared" si="182"/>
        <v>0</v>
      </c>
      <c r="AT95" s="19"/>
      <c r="AU95" s="21"/>
    </row>
    <row r="96" spans="3:47" ht="15.75" x14ac:dyDescent="0.25">
      <c r="C96" s="174">
        <v>44287</v>
      </c>
      <c r="D96" s="150"/>
      <c r="E96" s="150"/>
      <c r="F96" s="40"/>
      <c r="G96" s="40"/>
      <c r="H96" s="40"/>
      <c r="I96" s="40"/>
      <c r="J96" s="19">
        <f t="shared" ref="J96:V96" si="183">IF(AND(J69&lt;=$T$85,K69&gt;$T$85),1,0)*$T$83</f>
        <v>0</v>
      </c>
      <c r="K96" s="19">
        <f t="shared" si="183"/>
        <v>0</v>
      </c>
      <c r="L96" s="19">
        <f t="shared" si="183"/>
        <v>0</v>
      </c>
      <c r="M96" s="19">
        <f t="shared" si="183"/>
        <v>0</v>
      </c>
      <c r="N96" s="19">
        <f t="shared" si="183"/>
        <v>0</v>
      </c>
      <c r="O96" s="19">
        <f t="shared" si="183"/>
        <v>0</v>
      </c>
      <c r="P96" s="19">
        <f t="shared" si="183"/>
        <v>0</v>
      </c>
      <c r="Q96" s="19">
        <f t="shared" si="183"/>
        <v>0</v>
      </c>
      <c r="R96" s="19">
        <f t="shared" si="183"/>
        <v>0</v>
      </c>
      <c r="S96" s="19">
        <f t="shared" si="183"/>
        <v>0</v>
      </c>
      <c r="T96" s="19">
        <f t="shared" si="183"/>
        <v>0</v>
      </c>
      <c r="U96" s="19">
        <f t="shared" si="183"/>
        <v>0</v>
      </c>
      <c r="V96" s="19">
        <f t="shared" si="183"/>
        <v>561960</v>
      </c>
      <c r="W96" s="19"/>
      <c r="X96" s="21"/>
      <c r="Z96" s="174">
        <v>44287</v>
      </c>
      <c r="AA96" s="150"/>
      <c r="AB96" s="150"/>
      <c r="AC96" s="40"/>
      <c r="AD96" s="40"/>
      <c r="AE96" s="40"/>
      <c r="AF96" s="40"/>
      <c r="AG96" s="19">
        <f t="shared" ref="AG96:AS96" si="184">IF(AND(AG69&lt;=$AQ$85,AH69&gt;$AQ$85),1,0)*$AQ$83</f>
        <v>0</v>
      </c>
      <c r="AH96" s="19">
        <f t="shared" si="184"/>
        <v>0</v>
      </c>
      <c r="AI96" s="19">
        <f t="shared" si="184"/>
        <v>0</v>
      </c>
      <c r="AJ96" s="19">
        <f t="shared" si="184"/>
        <v>0</v>
      </c>
      <c r="AK96" s="19">
        <f t="shared" si="184"/>
        <v>0</v>
      </c>
      <c r="AL96" s="19">
        <f t="shared" si="184"/>
        <v>0</v>
      </c>
      <c r="AM96" s="19">
        <f t="shared" si="184"/>
        <v>0</v>
      </c>
      <c r="AN96" s="19">
        <f t="shared" si="184"/>
        <v>0</v>
      </c>
      <c r="AO96" s="19">
        <f t="shared" si="184"/>
        <v>0</v>
      </c>
      <c r="AP96" s="19">
        <f t="shared" si="184"/>
        <v>0</v>
      </c>
      <c r="AQ96" s="19">
        <f t="shared" si="184"/>
        <v>0</v>
      </c>
      <c r="AR96" s="19">
        <f t="shared" si="184"/>
        <v>0</v>
      </c>
      <c r="AS96" s="19">
        <f t="shared" si="184"/>
        <v>561960</v>
      </c>
      <c r="AT96" s="19"/>
      <c r="AU96" s="21"/>
    </row>
    <row r="97" spans="3:47" ht="15.75" x14ac:dyDescent="0.25">
      <c r="C97" s="174">
        <v>44317</v>
      </c>
      <c r="D97" s="150"/>
      <c r="E97" s="150"/>
      <c r="F97" s="40"/>
      <c r="G97" s="40"/>
      <c r="H97" s="40"/>
      <c r="I97" s="40"/>
      <c r="J97" s="19">
        <f t="shared" ref="J97:V97" si="185">IF(AND(J69&lt;=$U$85,K69&gt;$U$85),1,0)*$U$83</f>
        <v>0</v>
      </c>
      <c r="K97" s="19">
        <f t="shared" si="185"/>
        <v>0</v>
      </c>
      <c r="L97" s="19">
        <f t="shared" si="185"/>
        <v>0</v>
      </c>
      <c r="M97" s="19">
        <f t="shared" si="185"/>
        <v>0</v>
      </c>
      <c r="N97" s="19">
        <f t="shared" si="185"/>
        <v>0</v>
      </c>
      <c r="O97" s="19">
        <f t="shared" si="185"/>
        <v>0</v>
      </c>
      <c r="P97" s="19">
        <f t="shared" si="185"/>
        <v>0</v>
      </c>
      <c r="Q97" s="19">
        <f t="shared" si="185"/>
        <v>0</v>
      </c>
      <c r="R97" s="19">
        <f t="shared" si="185"/>
        <v>0</v>
      </c>
      <c r="S97" s="19">
        <f t="shared" si="185"/>
        <v>0</v>
      </c>
      <c r="T97" s="19">
        <f t="shared" si="185"/>
        <v>0</v>
      </c>
      <c r="U97" s="19">
        <f t="shared" si="185"/>
        <v>0</v>
      </c>
      <c r="V97" s="19">
        <f t="shared" si="185"/>
        <v>0</v>
      </c>
      <c r="W97" s="19"/>
      <c r="X97" s="21"/>
      <c r="Z97" s="174">
        <v>44317</v>
      </c>
      <c r="AA97" s="150"/>
      <c r="AB97" s="150"/>
      <c r="AC97" s="40"/>
      <c r="AD97" s="40"/>
      <c r="AE97" s="40"/>
      <c r="AF97" s="40"/>
      <c r="AG97" s="19">
        <f t="shared" ref="AG97:AS97" si="186">IF(AND(AG69&lt;=$AR$85,AH69&gt;$AR$85),1,0)*$AR$83</f>
        <v>0</v>
      </c>
      <c r="AH97" s="19">
        <f t="shared" si="186"/>
        <v>0</v>
      </c>
      <c r="AI97" s="19">
        <f t="shared" si="186"/>
        <v>0</v>
      </c>
      <c r="AJ97" s="19">
        <f t="shared" si="186"/>
        <v>0</v>
      </c>
      <c r="AK97" s="19">
        <f t="shared" si="186"/>
        <v>0</v>
      </c>
      <c r="AL97" s="19">
        <f t="shared" si="186"/>
        <v>0</v>
      </c>
      <c r="AM97" s="19">
        <f t="shared" si="186"/>
        <v>0</v>
      </c>
      <c r="AN97" s="19">
        <f t="shared" si="186"/>
        <v>0</v>
      </c>
      <c r="AO97" s="19">
        <f t="shared" si="186"/>
        <v>0</v>
      </c>
      <c r="AP97" s="19">
        <f t="shared" si="186"/>
        <v>0</v>
      </c>
      <c r="AQ97" s="19">
        <f t="shared" si="186"/>
        <v>0</v>
      </c>
      <c r="AR97" s="19">
        <f t="shared" si="186"/>
        <v>0</v>
      </c>
      <c r="AS97" s="19">
        <f t="shared" si="186"/>
        <v>0</v>
      </c>
      <c r="AT97" s="19"/>
      <c r="AU97" s="21"/>
    </row>
    <row r="98" spans="3:47" ht="15.75" x14ac:dyDescent="0.25">
      <c r="C98" s="174">
        <v>44348</v>
      </c>
      <c r="D98" s="150"/>
      <c r="E98" s="150"/>
      <c r="F98" s="40"/>
      <c r="G98" s="40"/>
      <c r="H98" s="40"/>
      <c r="I98" s="40"/>
      <c r="J98" s="19">
        <f t="shared" ref="J98:V98" si="187">IF(AND(J69&lt;=$V$85,K69&gt;$V$85),1,0)*$V$83</f>
        <v>0</v>
      </c>
      <c r="K98" s="19">
        <f t="shared" si="187"/>
        <v>0</v>
      </c>
      <c r="L98" s="19">
        <f t="shared" si="187"/>
        <v>0</v>
      </c>
      <c r="M98" s="19">
        <f t="shared" si="187"/>
        <v>0</v>
      </c>
      <c r="N98" s="19">
        <f t="shared" si="187"/>
        <v>0</v>
      </c>
      <c r="O98" s="19">
        <f t="shared" si="187"/>
        <v>0</v>
      </c>
      <c r="P98" s="19">
        <f t="shared" si="187"/>
        <v>0</v>
      </c>
      <c r="Q98" s="19">
        <f t="shared" si="187"/>
        <v>0</v>
      </c>
      <c r="R98" s="19">
        <f t="shared" si="187"/>
        <v>0</v>
      </c>
      <c r="S98" s="19">
        <f t="shared" si="187"/>
        <v>0</v>
      </c>
      <c r="T98" s="19">
        <f t="shared" si="187"/>
        <v>0</v>
      </c>
      <c r="U98" s="19">
        <f t="shared" si="187"/>
        <v>0</v>
      </c>
      <c r="V98" s="19">
        <f t="shared" si="187"/>
        <v>0</v>
      </c>
      <c r="W98" s="19"/>
      <c r="X98" s="21"/>
      <c r="Z98" s="174">
        <v>44348</v>
      </c>
      <c r="AA98" s="150"/>
      <c r="AB98" s="150"/>
      <c r="AC98" s="40"/>
      <c r="AD98" s="40"/>
      <c r="AE98" s="40"/>
      <c r="AF98" s="40"/>
      <c r="AG98" s="19">
        <f t="shared" ref="AG98:AS98" si="188">IF(AND(AG69&lt;=$AS$85,AH69&gt;$AS$85),1,0)*$AS$83</f>
        <v>0</v>
      </c>
      <c r="AH98" s="19">
        <f t="shared" si="188"/>
        <v>0</v>
      </c>
      <c r="AI98" s="19">
        <f t="shared" si="188"/>
        <v>0</v>
      </c>
      <c r="AJ98" s="19">
        <f t="shared" si="188"/>
        <v>0</v>
      </c>
      <c r="AK98" s="19">
        <f t="shared" si="188"/>
        <v>0</v>
      </c>
      <c r="AL98" s="19">
        <f t="shared" si="188"/>
        <v>0</v>
      </c>
      <c r="AM98" s="19">
        <f t="shared" si="188"/>
        <v>0</v>
      </c>
      <c r="AN98" s="19">
        <f t="shared" si="188"/>
        <v>0</v>
      </c>
      <c r="AO98" s="19">
        <f t="shared" si="188"/>
        <v>0</v>
      </c>
      <c r="AP98" s="19">
        <f t="shared" si="188"/>
        <v>0</v>
      </c>
      <c r="AQ98" s="19">
        <f t="shared" si="188"/>
        <v>0</v>
      </c>
      <c r="AR98" s="19">
        <f t="shared" si="188"/>
        <v>0</v>
      </c>
      <c r="AS98" s="19">
        <f t="shared" si="188"/>
        <v>0</v>
      </c>
      <c r="AT98" s="19"/>
      <c r="AU98" s="21"/>
    </row>
    <row r="99" spans="3:47" ht="15.75" x14ac:dyDescent="0.25">
      <c r="C99" s="24"/>
      <c r="D99" s="150"/>
      <c r="E99" s="150"/>
      <c r="F99" s="40"/>
      <c r="G99" s="40"/>
      <c r="H99" s="40"/>
      <c r="I99" s="40"/>
      <c r="J99" s="19"/>
      <c r="K99" s="19"/>
      <c r="L99" s="19"/>
      <c r="M99" s="19"/>
      <c r="N99" s="19"/>
      <c r="O99" s="19"/>
      <c r="P99" s="19"/>
      <c r="Q99" s="19"/>
      <c r="R99" s="19"/>
      <c r="S99" s="19"/>
      <c r="T99" s="19"/>
      <c r="U99" s="19"/>
      <c r="V99" s="19"/>
      <c r="W99" s="19"/>
      <c r="X99" s="21"/>
      <c r="Z99" s="24"/>
      <c r="AA99" s="150"/>
      <c r="AB99" s="150"/>
      <c r="AC99" s="40"/>
      <c r="AD99" s="40"/>
      <c r="AE99" s="40"/>
      <c r="AF99" s="40"/>
      <c r="AG99" s="19"/>
      <c r="AH99" s="19"/>
      <c r="AI99" s="19"/>
      <c r="AJ99" s="19"/>
      <c r="AK99" s="19"/>
      <c r="AL99" s="19"/>
      <c r="AM99" s="19"/>
      <c r="AN99" s="19"/>
      <c r="AO99" s="19"/>
      <c r="AP99" s="19"/>
      <c r="AQ99" s="19"/>
      <c r="AR99" s="19"/>
      <c r="AS99" s="19"/>
      <c r="AT99" s="19"/>
      <c r="AU99" s="21"/>
    </row>
    <row r="100" spans="3:47" ht="15.75" x14ac:dyDescent="0.25">
      <c r="C100" s="24" t="s">
        <v>18</v>
      </c>
      <c r="D100" s="150"/>
      <c r="E100" s="150"/>
      <c r="F100" s="40"/>
      <c r="G100" s="40"/>
      <c r="H100" s="40"/>
      <c r="I100" s="40"/>
      <c r="J100" s="65">
        <f t="shared" ref="J100:V100" si="189">SUM(J77,J82,J86:J98)</f>
        <v>639025</v>
      </c>
      <c r="K100" s="65">
        <f t="shared" si="189"/>
        <v>639025</v>
      </c>
      <c r="L100" s="65">
        <f t="shared" si="189"/>
        <v>390250</v>
      </c>
      <c r="M100" s="65">
        <f t="shared" si="189"/>
        <v>390250</v>
      </c>
      <c r="N100" s="65">
        <f t="shared" si="189"/>
        <v>390250</v>
      </c>
      <c r="O100" s="65">
        <f t="shared" si="189"/>
        <v>390250</v>
      </c>
      <c r="P100" s="65">
        <f t="shared" si="189"/>
        <v>398055</v>
      </c>
      <c r="Q100" s="65">
        <f t="shared" si="189"/>
        <v>405860</v>
      </c>
      <c r="R100" s="65">
        <f t="shared" si="189"/>
        <v>452690</v>
      </c>
      <c r="S100" s="65">
        <f t="shared" si="189"/>
        <v>546350</v>
      </c>
      <c r="T100" s="65">
        <f t="shared" si="189"/>
        <v>343420</v>
      </c>
      <c r="U100" s="65">
        <f t="shared" si="189"/>
        <v>561960</v>
      </c>
      <c r="V100" s="65">
        <f t="shared" si="189"/>
        <v>640010</v>
      </c>
      <c r="W100" s="19"/>
      <c r="X100" s="21"/>
      <c r="Z100" s="24" t="s">
        <v>18</v>
      </c>
      <c r="AA100" s="150"/>
      <c r="AB100" s="150"/>
      <c r="AC100" s="40"/>
      <c r="AD100" s="40"/>
      <c r="AE100" s="40"/>
      <c r="AF100" s="40"/>
      <c r="AG100" s="65">
        <f t="shared" ref="AG100:AS100" si="190">SUM(AG77,AG82,AG86:AG98)</f>
        <v>39024.999999999993</v>
      </c>
      <c r="AH100" s="65">
        <f t="shared" si="190"/>
        <v>39024.999999999993</v>
      </c>
      <c r="AI100" s="65">
        <f t="shared" si="190"/>
        <v>390250</v>
      </c>
      <c r="AJ100" s="65">
        <f t="shared" si="190"/>
        <v>390250</v>
      </c>
      <c r="AK100" s="65">
        <f t="shared" si="190"/>
        <v>390250</v>
      </c>
      <c r="AL100" s="65">
        <f t="shared" si="190"/>
        <v>390250</v>
      </c>
      <c r="AM100" s="65">
        <f t="shared" si="190"/>
        <v>398055</v>
      </c>
      <c r="AN100" s="65">
        <f t="shared" si="190"/>
        <v>405860</v>
      </c>
      <c r="AO100" s="65">
        <f t="shared" si="190"/>
        <v>452690</v>
      </c>
      <c r="AP100" s="65">
        <f t="shared" si="190"/>
        <v>546350</v>
      </c>
      <c r="AQ100" s="65">
        <f t="shared" si="190"/>
        <v>343420</v>
      </c>
      <c r="AR100" s="65">
        <f t="shared" si="190"/>
        <v>561960</v>
      </c>
      <c r="AS100" s="65">
        <f t="shared" si="190"/>
        <v>640010</v>
      </c>
      <c r="AT100" s="19"/>
      <c r="AU100" s="21"/>
    </row>
    <row r="101" spans="3:47" ht="15.75" x14ac:dyDescent="0.25">
      <c r="C101" s="24" t="s">
        <v>209</v>
      </c>
      <c r="D101" s="150"/>
      <c r="E101" s="150"/>
      <c r="F101" s="40"/>
      <c r="G101" s="40"/>
      <c r="H101" s="40"/>
      <c r="I101" s="40"/>
      <c r="J101" s="19">
        <f>J100-J82</f>
        <v>600000</v>
      </c>
      <c r="K101" s="19">
        <f t="shared" ref="K101:V101" si="191">K100-K82</f>
        <v>600000</v>
      </c>
      <c r="L101" s="19">
        <f t="shared" si="191"/>
        <v>351225</v>
      </c>
      <c r="M101" s="19">
        <f t="shared" si="191"/>
        <v>351225</v>
      </c>
      <c r="N101" s="19">
        <f t="shared" si="191"/>
        <v>351225</v>
      </c>
      <c r="O101" s="19">
        <f t="shared" si="191"/>
        <v>351225</v>
      </c>
      <c r="P101" s="19">
        <f t="shared" si="191"/>
        <v>351225</v>
      </c>
      <c r="Q101" s="19">
        <f t="shared" si="191"/>
        <v>351225</v>
      </c>
      <c r="R101" s="19">
        <f t="shared" si="191"/>
        <v>421470</v>
      </c>
      <c r="S101" s="19">
        <f t="shared" si="191"/>
        <v>491715</v>
      </c>
      <c r="T101" s="19">
        <f t="shared" si="191"/>
        <v>280980</v>
      </c>
      <c r="U101" s="19">
        <f t="shared" si="191"/>
        <v>491715</v>
      </c>
      <c r="V101" s="19">
        <f t="shared" si="191"/>
        <v>561960</v>
      </c>
      <c r="W101" s="19"/>
      <c r="X101" s="21"/>
      <c r="Z101" s="24" t="s">
        <v>209</v>
      </c>
      <c r="AA101" s="150"/>
      <c r="AB101" s="150"/>
      <c r="AC101" s="40"/>
      <c r="AD101" s="40"/>
      <c r="AE101" s="40"/>
      <c r="AF101" s="40"/>
      <c r="AG101" s="19">
        <f>AG100-AG82</f>
        <v>0</v>
      </c>
      <c r="AH101" s="19">
        <f t="shared" ref="AH101:AS101" si="192">AH100-AH82</f>
        <v>0</v>
      </c>
      <c r="AI101" s="19">
        <f t="shared" si="192"/>
        <v>351225</v>
      </c>
      <c r="AJ101" s="19">
        <f t="shared" si="192"/>
        <v>351225</v>
      </c>
      <c r="AK101" s="19">
        <f t="shared" si="192"/>
        <v>351225</v>
      </c>
      <c r="AL101" s="19">
        <f t="shared" si="192"/>
        <v>351225</v>
      </c>
      <c r="AM101" s="19">
        <f t="shared" si="192"/>
        <v>351225</v>
      </c>
      <c r="AN101" s="19">
        <f t="shared" si="192"/>
        <v>351225</v>
      </c>
      <c r="AO101" s="19">
        <f t="shared" si="192"/>
        <v>421470</v>
      </c>
      <c r="AP101" s="19">
        <f t="shared" si="192"/>
        <v>491715</v>
      </c>
      <c r="AQ101" s="19">
        <f t="shared" si="192"/>
        <v>280980</v>
      </c>
      <c r="AR101" s="19">
        <f t="shared" si="192"/>
        <v>491715</v>
      </c>
      <c r="AS101" s="19">
        <f t="shared" si="192"/>
        <v>561960</v>
      </c>
      <c r="AT101" s="19"/>
      <c r="AU101" s="21"/>
    </row>
    <row r="102" spans="3:47" s="7" customFormat="1" ht="15.75" x14ac:dyDescent="0.25">
      <c r="C102" s="24"/>
      <c r="D102" s="150"/>
      <c r="E102" s="150"/>
      <c r="F102" s="40"/>
      <c r="G102" s="40"/>
      <c r="H102" s="40"/>
      <c r="I102" s="40"/>
      <c r="J102" s="19"/>
      <c r="K102" s="19"/>
      <c r="L102" s="19"/>
      <c r="M102" s="19"/>
      <c r="N102" s="19"/>
      <c r="O102" s="19"/>
      <c r="P102" s="19"/>
      <c r="Q102" s="19"/>
      <c r="R102" s="19"/>
      <c r="S102" s="19"/>
      <c r="T102" s="19"/>
      <c r="U102" s="19"/>
      <c r="V102" s="19"/>
      <c r="W102" s="19"/>
      <c r="X102" s="21"/>
      <c r="Z102" s="24"/>
      <c r="AA102" s="150"/>
      <c r="AB102" s="150"/>
      <c r="AC102" s="40"/>
      <c r="AD102" s="40"/>
      <c r="AE102" s="40"/>
      <c r="AF102" s="40"/>
      <c r="AG102" s="19"/>
      <c r="AH102" s="19"/>
      <c r="AI102" s="19"/>
      <c r="AJ102" s="19"/>
      <c r="AK102" s="19"/>
      <c r="AL102" s="19"/>
      <c r="AM102" s="19"/>
      <c r="AN102" s="19"/>
      <c r="AO102" s="19"/>
      <c r="AP102" s="19"/>
      <c r="AQ102" s="19"/>
      <c r="AR102" s="19"/>
      <c r="AS102" s="19"/>
      <c r="AT102" s="19"/>
      <c r="AU102" s="21"/>
    </row>
    <row r="103" spans="3:47" ht="15.75" x14ac:dyDescent="0.25">
      <c r="C103" s="23" t="s">
        <v>176</v>
      </c>
      <c r="D103" s="175" t="s">
        <v>174</v>
      </c>
      <c r="E103" s="40"/>
      <c r="F103" s="40"/>
      <c r="G103" s="40"/>
      <c r="H103" s="40"/>
      <c r="I103" s="40"/>
      <c r="J103" s="19"/>
      <c r="K103" s="19"/>
      <c r="L103" s="19"/>
      <c r="M103" s="19"/>
      <c r="N103" s="19"/>
      <c r="O103" s="19"/>
      <c r="P103" s="19"/>
      <c r="Q103" s="19"/>
      <c r="R103" s="19"/>
      <c r="S103" s="19"/>
      <c r="T103" s="19"/>
      <c r="U103" s="19"/>
      <c r="V103" s="19"/>
      <c r="W103" s="19"/>
      <c r="X103" s="21"/>
      <c r="Z103" s="23" t="s">
        <v>176</v>
      </c>
      <c r="AA103" s="175" t="s">
        <v>174</v>
      </c>
      <c r="AB103" s="40"/>
      <c r="AC103" s="40"/>
      <c r="AD103" s="40"/>
      <c r="AE103" s="40"/>
      <c r="AF103" s="40"/>
      <c r="AG103" s="19"/>
      <c r="AH103" s="19"/>
      <c r="AI103" s="19"/>
      <c r="AJ103" s="19"/>
      <c r="AK103" s="19"/>
      <c r="AL103" s="19"/>
      <c r="AM103" s="19"/>
      <c r="AN103" s="19"/>
      <c r="AO103" s="19"/>
      <c r="AP103" s="19"/>
      <c r="AQ103" s="19"/>
      <c r="AR103" s="19"/>
      <c r="AS103" s="19"/>
      <c r="AT103" s="19"/>
      <c r="AU103" s="21"/>
    </row>
    <row r="104" spans="3:47" ht="15.75" x14ac:dyDescent="0.25">
      <c r="C104" s="174">
        <f t="array" ref="C104:C116">TRANSPOSE(J69:V69)</f>
        <v>43983</v>
      </c>
      <c r="D104" s="172">
        <f>EDATE(C104,1)</f>
        <v>44013</v>
      </c>
      <c r="E104" s="40"/>
      <c r="F104" s="40"/>
      <c r="G104" s="40"/>
      <c r="H104" s="40"/>
      <c r="I104" s="19">
        <f t="array" ref="I104:I116">TRANSPOSE(J78:V78)</f>
        <v>600000</v>
      </c>
      <c r="J104" s="19">
        <f t="shared" ref="J104:V104" si="193">IF(AND($D$104&gt;J69,$D$104&lt;=J85),1,0)*J83</f>
        <v>351225</v>
      </c>
      <c r="K104" s="19">
        <f t="shared" si="193"/>
        <v>0</v>
      </c>
      <c r="L104" s="19">
        <f t="shared" si="193"/>
        <v>0</v>
      </c>
      <c r="M104" s="19">
        <f t="shared" si="193"/>
        <v>0</v>
      </c>
      <c r="N104" s="19">
        <f t="shared" si="193"/>
        <v>0</v>
      </c>
      <c r="O104" s="19">
        <f t="shared" si="193"/>
        <v>0</v>
      </c>
      <c r="P104" s="19">
        <f t="shared" si="193"/>
        <v>0</v>
      </c>
      <c r="Q104" s="19">
        <f t="shared" si="193"/>
        <v>0</v>
      </c>
      <c r="R104" s="19">
        <f t="shared" si="193"/>
        <v>0</v>
      </c>
      <c r="S104" s="19">
        <f t="shared" si="193"/>
        <v>0</v>
      </c>
      <c r="T104" s="19">
        <f t="shared" si="193"/>
        <v>0</v>
      </c>
      <c r="U104" s="19">
        <f t="shared" si="193"/>
        <v>0</v>
      </c>
      <c r="V104" s="19">
        <f t="shared" si="193"/>
        <v>0</v>
      </c>
      <c r="W104" s="19">
        <f>SUM(I104:V104)</f>
        <v>951225</v>
      </c>
      <c r="X104" s="21"/>
      <c r="Z104" s="174">
        <f t="array" ref="Z104:Z116">TRANSPOSE(AG69:AS69)</f>
        <v>43983</v>
      </c>
      <c r="AA104" s="172">
        <f>EDATE(Z104,1)</f>
        <v>44013</v>
      </c>
      <c r="AB104" s="40"/>
      <c r="AC104" s="40"/>
      <c r="AD104" s="40"/>
      <c r="AE104" s="40"/>
      <c r="AF104" s="19">
        <f t="array" ref="AF104:AF116">TRANSPOSE(AG78:AS78)</f>
        <v>0</v>
      </c>
      <c r="AG104" s="19">
        <f t="shared" ref="AG104:AS104" si="194">IF(AND($AA$104&gt;AG69,$AA$104&lt;=AG85),1,0)*AG83</f>
        <v>351225</v>
      </c>
      <c r="AH104" s="19">
        <f t="shared" si="194"/>
        <v>0</v>
      </c>
      <c r="AI104" s="19">
        <f t="shared" si="194"/>
        <v>0</v>
      </c>
      <c r="AJ104" s="19">
        <f t="shared" si="194"/>
        <v>0</v>
      </c>
      <c r="AK104" s="19">
        <f t="shared" si="194"/>
        <v>0</v>
      </c>
      <c r="AL104" s="19">
        <f t="shared" si="194"/>
        <v>0</v>
      </c>
      <c r="AM104" s="19">
        <f t="shared" si="194"/>
        <v>0</v>
      </c>
      <c r="AN104" s="19">
        <f t="shared" si="194"/>
        <v>0</v>
      </c>
      <c r="AO104" s="19">
        <f t="shared" si="194"/>
        <v>0</v>
      </c>
      <c r="AP104" s="19">
        <f t="shared" si="194"/>
        <v>0</v>
      </c>
      <c r="AQ104" s="19">
        <f t="shared" si="194"/>
        <v>0</v>
      </c>
      <c r="AR104" s="19">
        <f t="shared" si="194"/>
        <v>0</v>
      </c>
      <c r="AS104" s="19">
        <f t="shared" si="194"/>
        <v>0</v>
      </c>
      <c r="AT104" s="19">
        <f>SUM(AF104:AS104)</f>
        <v>351225</v>
      </c>
      <c r="AU104" s="21"/>
    </row>
    <row r="105" spans="3:47" ht="15.75" x14ac:dyDescent="0.25">
      <c r="C105" s="174">
        <v>44013</v>
      </c>
      <c r="D105" s="172">
        <f t="shared" ref="D105:D116" si="195">EDATE(C105,1)</f>
        <v>44044</v>
      </c>
      <c r="E105" s="40"/>
      <c r="F105" s="40"/>
      <c r="G105" s="40"/>
      <c r="H105" s="40"/>
      <c r="I105" s="19">
        <v>0</v>
      </c>
      <c r="J105" s="19">
        <f t="shared" ref="J105:V105" si="196">IF(AND($D$105&gt;J69,$D$105&lt;=J85),1,0)*J83</f>
        <v>351225</v>
      </c>
      <c r="K105" s="19">
        <f t="shared" si="196"/>
        <v>351225</v>
      </c>
      <c r="L105" s="19">
        <f t="shared" si="196"/>
        <v>0</v>
      </c>
      <c r="M105" s="19">
        <f t="shared" si="196"/>
        <v>0</v>
      </c>
      <c r="N105" s="19">
        <f t="shared" si="196"/>
        <v>0</v>
      </c>
      <c r="O105" s="19">
        <f t="shared" si="196"/>
        <v>0</v>
      </c>
      <c r="P105" s="19">
        <f t="shared" si="196"/>
        <v>0</v>
      </c>
      <c r="Q105" s="19">
        <f t="shared" si="196"/>
        <v>0</v>
      </c>
      <c r="R105" s="19">
        <f t="shared" si="196"/>
        <v>0</v>
      </c>
      <c r="S105" s="19">
        <f t="shared" si="196"/>
        <v>0</v>
      </c>
      <c r="T105" s="19">
        <f t="shared" si="196"/>
        <v>0</v>
      </c>
      <c r="U105" s="19">
        <f t="shared" si="196"/>
        <v>0</v>
      </c>
      <c r="V105" s="19">
        <f t="shared" si="196"/>
        <v>0</v>
      </c>
      <c r="W105" s="19">
        <f t="shared" ref="W105:W116" si="197">SUM(I105:V105)</f>
        <v>702450</v>
      </c>
      <c r="X105" s="21"/>
      <c r="Z105" s="174">
        <v>44013</v>
      </c>
      <c r="AA105" s="172">
        <f t="shared" ref="AA105:AA116" si="198">EDATE(Z105,1)</f>
        <v>44044</v>
      </c>
      <c r="AB105" s="40"/>
      <c r="AC105" s="40"/>
      <c r="AD105" s="40"/>
      <c r="AE105" s="40"/>
      <c r="AF105" s="19">
        <v>0</v>
      </c>
      <c r="AG105" s="19">
        <f t="shared" ref="AG105:AS105" si="199">IF(AND($AA$105&gt;AG69,$AA$105&lt;=AG85),1,0)*AG83</f>
        <v>351225</v>
      </c>
      <c r="AH105" s="19">
        <f t="shared" si="199"/>
        <v>351225</v>
      </c>
      <c r="AI105" s="19">
        <f t="shared" si="199"/>
        <v>0</v>
      </c>
      <c r="AJ105" s="19">
        <f t="shared" si="199"/>
        <v>0</v>
      </c>
      <c r="AK105" s="19">
        <f t="shared" si="199"/>
        <v>0</v>
      </c>
      <c r="AL105" s="19">
        <f t="shared" si="199"/>
        <v>0</v>
      </c>
      <c r="AM105" s="19">
        <f t="shared" si="199"/>
        <v>0</v>
      </c>
      <c r="AN105" s="19">
        <f t="shared" si="199"/>
        <v>0</v>
      </c>
      <c r="AO105" s="19">
        <f t="shared" si="199"/>
        <v>0</v>
      </c>
      <c r="AP105" s="19">
        <f t="shared" si="199"/>
        <v>0</v>
      </c>
      <c r="AQ105" s="19">
        <f t="shared" si="199"/>
        <v>0</v>
      </c>
      <c r="AR105" s="19">
        <f t="shared" si="199"/>
        <v>0</v>
      </c>
      <c r="AS105" s="19">
        <f t="shared" si="199"/>
        <v>0</v>
      </c>
      <c r="AT105" s="19">
        <f t="shared" ref="AT105:AT116" si="200">SUM(AF105:AS105)</f>
        <v>702450</v>
      </c>
      <c r="AU105" s="21"/>
    </row>
    <row r="106" spans="3:47" ht="15.75" x14ac:dyDescent="0.25">
      <c r="C106" s="174">
        <v>44044</v>
      </c>
      <c r="D106" s="172">
        <f t="shared" si="195"/>
        <v>44075</v>
      </c>
      <c r="E106" s="40"/>
      <c r="F106" s="40"/>
      <c r="G106" s="40"/>
      <c r="H106" s="40"/>
      <c r="I106" s="19">
        <v>0</v>
      </c>
      <c r="J106" s="19">
        <f t="shared" ref="J106:V106" si="201">IF(AND($D$106&gt;J69,$D$106&lt;=J85),1,0)*J83</f>
        <v>0</v>
      </c>
      <c r="K106" s="19">
        <f t="shared" si="201"/>
        <v>351225</v>
      </c>
      <c r="L106" s="19">
        <f t="shared" si="201"/>
        <v>351225</v>
      </c>
      <c r="M106" s="19">
        <f t="shared" si="201"/>
        <v>0</v>
      </c>
      <c r="N106" s="19">
        <f t="shared" si="201"/>
        <v>0</v>
      </c>
      <c r="O106" s="19">
        <f t="shared" si="201"/>
        <v>0</v>
      </c>
      <c r="P106" s="19">
        <f t="shared" si="201"/>
        <v>0</v>
      </c>
      <c r="Q106" s="19">
        <f t="shared" si="201"/>
        <v>0</v>
      </c>
      <c r="R106" s="19">
        <f t="shared" si="201"/>
        <v>0</v>
      </c>
      <c r="S106" s="19">
        <f t="shared" si="201"/>
        <v>0</v>
      </c>
      <c r="T106" s="19">
        <f t="shared" si="201"/>
        <v>0</v>
      </c>
      <c r="U106" s="19">
        <f t="shared" si="201"/>
        <v>0</v>
      </c>
      <c r="V106" s="19">
        <f t="shared" si="201"/>
        <v>0</v>
      </c>
      <c r="W106" s="19">
        <f t="shared" si="197"/>
        <v>702450</v>
      </c>
      <c r="X106" s="21"/>
      <c r="Z106" s="174">
        <v>44044</v>
      </c>
      <c r="AA106" s="172">
        <f t="shared" si="198"/>
        <v>44075</v>
      </c>
      <c r="AB106" s="40"/>
      <c r="AC106" s="40"/>
      <c r="AD106" s="40"/>
      <c r="AE106" s="40"/>
      <c r="AF106" s="19">
        <v>0</v>
      </c>
      <c r="AG106" s="19">
        <f t="shared" ref="AG106:AS106" si="202">IF(AND($AA$106&gt;AG69,$AA$106&lt;=AG85),1,0)*AG83</f>
        <v>0</v>
      </c>
      <c r="AH106" s="19">
        <f t="shared" si="202"/>
        <v>351225</v>
      </c>
      <c r="AI106" s="19">
        <f t="shared" si="202"/>
        <v>351225</v>
      </c>
      <c r="AJ106" s="19">
        <f t="shared" si="202"/>
        <v>0</v>
      </c>
      <c r="AK106" s="19">
        <f t="shared" si="202"/>
        <v>0</v>
      </c>
      <c r="AL106" s="19">
        <f t="shared" si="202"/>
        <v>0</v>
      </c>
      <c r="AM106" s="19">
        <f t="shared" si="202"/>
        <v>0</v>
      </c>
      <c r="AN106" s="19">
        <f t="shared" si="202"/>
        <v>0</v>
      </c>
      <c r="AO106" s="19">
        <f t="shared" si="202"/>
        <v>0</v>
      </c>
      <c r="AP106" s="19">
        <f t="shared" si="202"/>
        <v>0</v>
      </c>
      <c r="AQ106" s="19">
        <f t="shared" si="202"/>
        <v>0</v>
      </c>
      <c r="AR106" s="19">
        <f t="shared" si="202"/>
        <v>0</v>
      </c>
      <c r="AS106" s="19">
        <f t="shared" si="202"/>
        <v>0</v>
      </c>
      <c r="AT106" s="19">
        <f t="shared" si="200"/>
        <v>702450</v>
      </c>
      <c r="AU106" s="21"/>
    </row>
    <row r="107" spans="3:47" ht="15.75" x14ac:dyDescent="0.25">
      <c r="C107" s="174">
        <v>44075</v>
      </c>
      <c r="D107" s="172">
        <f t="shared" si="195"/>
        <v>44105</v>
      </c>
      <c r="E107" s="40"/>
      <c r="F107" s="40"/>
      <c r="G107" s="40"/>
      <c r="H107" s="40"/>
      <c r="I107" s="19">
        <v>0</v>
      </c>
      <c r="J107" s="19">
        <f t="shared" ref="J107:V107" si="203">IF(AND($D$107&gt;J69,$D$107&lt;=J85),1,0)*J83</f>
        <v>0</v>
      </c>
      <c r="K107" s="19">
        <f t="shared" si="203"/>
        <v>0</v>
      </c>
      <c r="L107" s="19">
        <f t="shared" si="203"/>
        <v>351225</v>
      </c>
      <c r="M107" s="19">
        <f t="shared" si="203"/>
        <v>351225</v>
      </c>
      <c r="N107" s="19">
        <f t="shared" si="203"/>
        <v>0</v>
      </c>
      <c r="O107" s="19">
        <f t="shared" si="203"/>
        <v>0</v>
      </c>
      <c r="P107" s="19">
        <f t="shared" si="203"/>
        <v>0</v>
      </c>
      <c r="Q107" s="19">
        <f t="shared" si="203"/>
        <v>0</v>
      </c>
      <c r="R107" s="19">
        <f t="shared" si="203"/>
        <v>0</v>
      </c>
      <c r="S107" s="19">
        <f t="shared" si="203"/>
        <v>0</v>
      </c>
      <c r="T107" s="19">
        <f t="shared" si="203"/>
        <v>0</v>
      </c>
      <c r="U107" s="19">
        <f t="shared" si="203"/>
        <v>0</v>
      </c>
      <c r="V107" s="19">
        <f t="shared" si="203"/>
        <v>0</v>
      </c>
      <c r="W107" s="19">
        <f t="shared" si="197"/>
        <v>702450</v>
      </c>
      <c r="X107" s="21"/>
      <c r="Z107" s="174">
        <v>44075</v>
      </c>
      <c r="AA107" s="172">
        <f t="shared" si="198"/>
        <v>44105</v>
      </c>
      <c r="AB107" s="40"/>
      <c r="AC107" s="40"/>
      <c r="AD107" s="40"/>
      <c r="AE107" s="40"/>
      <c r="AF107" s="19">
        <v>0</v>
      </c>
      <c r="AG107" s="19">
        <f t="shared" ref="AG107:AS107" si="204">IF(AND($AA$107&gt;AG69,$AA$107&lt;=AG85),1,0)*AG83</f>
        <v>0</v>
      </c>
      <c r="AH107" s="19">
        <f t="shared" si="204"/>
        <v>0</v>
      </c>
      <c r="AI107" s="19">
        <f t="shared" si="204"/>
        <v>351225</v>
      </c>
      <c r="AJ107" s="19">
        <f t="shared" si="204"/>
        <v>351225</v>
      </c>
      <c r="AK107" s="19">
        <f t="shared" si="204"/>
        <v>0</v>
      </c>
      <c r="AL107" s="19">
        <f t="shared" si="204"/>
        <v>0</v>
      </c>
      <c r="AM107" s="19">
        <f t="shared" si="204"/>
        <v>0</v>
      </c>
      <c r="AN107" s="19">
        <f t="shared" si="204"/>
        <v>0</v>
      </c>
      <c r="AO107" s="19">
        <f t="shared" si="204"/>
        <v>0</v>
      </c>
      <c r="AP107" s="19">
        <f t="shared" si="204"/>
        <v>0</v>
      </c>
      <c r="AQ107" s="19">
        <f t="shared" si="204"/>
        <v>0</v>
      </c>
      <c r="AR107" s="19">
        <f t="shared" si="204"/>
        <v>0</v>
      </c>
      <c r="AS107" s="19">
        <f t="shared" si="204"/>
        <v>0</v>
      </c>
      <c r="AT107" s="19">
        <f t="shared" si="200"/>
        <v>702450</v>
      </c>
      <c r="AU107" s="21"/>
    </row>
    <row r="108" spans="3:47" ht="15.75" x14ac:dyDescent="0.25">
      <c r="C108" s="174">
        <v>44105</v>
      </c>
      <c r="D108" s="172">
        <f t="shared" si="195"/>
        <v>44136</v>
      </c>
      <c r="E108" s="40"/>
      <c r="F108" s="40"/>
      <c r="G108" s="40"/>
      <c r="H108" s="40"/>
      <c r="I108" s="19">
        <v>0</v>
      </c>
      <c r="J108" s="19">
        <f t="shared" ref="J108:V108" si="205">IF(AND($D$108&gt;J69,$D$108&lt;=J85),1,0)*J83</f>
        <v>0</v>
      </c>
      <c r="K108" s="19">
        <f t="shared" si="205"/>
        <v>0</v>
      </c>
      <c r="L108" s="19">
        <f t="shared" si="205"/>
        <v>0</v>
      </c>
      <c r="M108" s="19">
        <f t="shared" si="205"/>
        <v>351225</v>
      </c>
      <c r="N108" s="19">
        <f t="shared" si="205"/>
        <v>351225</v>
      </c>
      <c r="O108" s="19">
        <f t="shared" si="205"/>
        <v>0</v>
      </c>
      <c r="P108" s="19">
        <f t="shared" si="205"/>
        <v>0</v>
      </c>
      <c r="Q108" s="19">
        <f t="shared" si="205"/>
        <v>0</v>
      </c>
      <c r="R108" s="19">
        <f t="shared" si="205"/>
        <v>0</v>
      </c>
      <c r="S108" s="19">
        <f t="shared" si="205"/>
        <v>0</v>
      </c>
      <c r="T108" s="19">
        <f t="shared" si="205"/>
        <v>0</v>
      </c>
      <c r="U108" s="19">
        <f t="shared" si="205"/>
        <v>0</v>
      </c>
      <c r="V108" s="19">
        <f t="shared" si="205"/>
        <v>0</v>
      </c>
      <c r="W108" s="19">
        <f t="shared" si="197"/>
        <v>702450</v>
      </c>
      <c r="X108" s="21"/>
      <c r="Z108" s="174">
        <v>44105</v>
      </c>
      <c r="AA108" s="172">
        <f t="shared" si="198"/>
        <v>44136</v>
      </c>
      <c r="AB108" s="40"/>
      <c r="AC108" s="40"/>
      <c r="AD108" s="40"/>
      <c r="AE108" s="40"/>
      <c r="AF108" s="19">
        <v>0</v>
      </c>
      <c r="AG108" s="19">
        <f t="shared" ref="AG108:AS108" si="206">IF(AND($AA$108&gt;AG69,$AA$108&lt;=AG85),1,0)*AG83</f>
        <v>0</v>
      </c>
      <c r="AH108" s="19">
        <f t="shared" si="206"/>
        <v>0</v>
      </c>
      <c r="AI108" s="19">
        <f t="shared" si="206"/>
        <v>0</v>
      </c>
      <c r="AJ108" s="19">
        <f t="shared" si="206"/>
        <v>351225</v>
      </c>
      <c r="AK108" s="19">
        <f t="shared" si="206"/>
        <v>351225</v>
      </c>
      <c r="AL108" s="19">
        <f t="shared" si="206"/>
        <v>0</v>
      </c>
      <c r="AM108" s="19">
        <f t="shared" si="206"/>
        <v>0</v>
      </c>
      <c r="AN108" s="19">
        <f t="shared" si="206"/>
        <v>0</v>
      </c>
      <c r="AO108" s="19">
        <f t="shared" si="206"/>
        <v>0</v>
      </c>
      <c r="AP108" s="19">
        <f t="shared" si="206"/>
        <v>0</v>
      </c>
      <c r="AQ108" s="19">
        <f t="shared" si="206"/>
        <v>0</v>
      </c>
      <c r="AR108" s="19">
        <f t="shared" si="206"/>
        <v>0</v>
      </c>
      <c r="AS108" s="19">
        <f t="shared" si="206"/>
        <v>0</v>
      </c>
      <c r="AT108" s="19">
        <f t="shared" si="200"/>
        <v>702450</v>
      </c>
      <c r="AU108" s="21"/>
    </row>
    <row r="109" spans="3:47" ht="15.75" x14ac:dyDescent="0.25">
      <c r="C109" s="174">
        <v>44136</v>
      </c>
      <c r="D109" s="172">
        <f t="shared" si="195"/>
        <v>44166</v>
      </c>
      <c r="E109" s="40"/>
      <c r="F109" s="40"/>
      <c r="G109" s="40"/>
      <c r="H109" s="40"/>
      <c r="I109" s="19">
        <v>0</v>
      </c>
      <c r="J109" s="19">
        <f t="shared" ref="J109:V109" si="207">IF(AND($D$109&gt;J69,$D$109&lt;=J85),1,0)*J83</f>
        <v>0</v>
      </c>
      <c r="K109" s="19">
        <f t="shared" si="207"/>
        <v>0</v>
      </c>
      <c r="L109" s="19">
        <f t="shared" si="207"/>
        <v>0</v>
      </c>
      <c r="M109" s="19">
        <f t="shared" si="207"/>
        <v>0</v>
      </c>
      <c r="N109" s="19">
        <f t="shared" si="207"/>
        <v>351225</v>
      </c>
      <c r="O109" s="19">
        <f t="shared" si="207"/>
        <v>351225</v>
      </c>
      <c r="P109" s="19">
        <f t="shared" si="207"/>
        <v>0</v>
      </c>
      <c r="Q109" s="19">
        <f t="shared" si="207"/>
        <v>0</v>
      </c>
      <c r="R109" s="19">
        <f t="shared" si="207"/>
        <v>0</v>
      </c>
      <c r="S109" s="19">
        <f t="shared" si="207"/>
        <v>0</v>
      </c>
      <c r="T109" s="19">
        <f t="shared" si="207"/>
        <v>0</v>
      </c>
      <c r="U109" s="19">
        <f t="shared" si="207"/>
        <v>0</v>
      </c>
      <c r="V109" s="19">
        <f t="shared" si="207"/>
        <v>0</v>
      </c>
      <c r="W109" s="19">
        <f t="shared" si="197"/>
        <v>702450</v>
      </c>
      <c r="X109" s="21"/>
      <c r="Z109" s="174">
        <v>44136</v>
      </c>
      <c r="AA109" s="172">
        <f t="shared" si="198"/>
        <v>44166</v>
      </c>
      <c r="AB109" s="40"/>
      <c r="AC109" s="40"/>
      <c r="AD109" s="40"/>
      <c r="AE109" s="40"/>
      <c r="AF109" s="19">
        <v>0</v>
      </c>
      <c r="AG109" s="19">
        <f t="shared" ref="AG109:AS109" si="208">IF(AND($AA$109&gt;AG69,$AA$109&lt;=AG85),1,0)*AG83</f>
        <v>0</v>
      </c>
      <c r="AH109" s="19">
        <f t="shared" si="208"/>
        <v>0</v>
      </c>
      <c r="AI109" s="19">
        <f t="shared" si="208"/>
        <v>0</v>
      </c>
      <c r="AJ109" s="19">
        <f t="shared" si="208"/>
        <v>0</v>
      </c>
      <c r="AK109" s="19">
        <f t="shared" si="208"/>
        <v>351225</v>
      </c>
      <c r="AL109" s="19">
        <f t="shared" si="208"/>
        <v>351225</v>
      </c>
      <c r="AM109" s="19">
        <f t="shared" si="208"/>
        <v>0</v>
      </c>
      <c r="AN109" s="19">
        <f t="shared" si="208"/>
        <v>0</v>
      </c>
      <c r="AO109" s="19">
        <f t="shared" si="208"/>
        <v>0</v>
      </c>
      <c r="AP109" s="19">
        <f t="shared" si="208"/>
        <v>0</v>
      </c>
      <c r="AQ109" s="19">
        <f t="shared" si="208"/>
        <v>0</v>
      </c>
      <c r="AR109" s="19">
        <f t="shared" si="208"/>
        <v>0</v>
      </c>
      <c r="AS109" s="19">
        <f t="shared" si="208"/>
        <v>0</v>
      </c>
      <c r="AT109" s="19">
        <f t="shared" si="200"/>
        <v>702450</v>
      </c>
      <c r="AU109" s="21"/>
    </row>
    <row r="110" spans="3:47" ht="15.75" x14ac:dyDescent="0.25">
      <c r="C110" s="174">
        <v>44166</v>
      </c>
      <c r="D110" s="172">
        <f t="shared" si="195"/>
        <v>44197</v>
      </c>
      <c r="E110" s="150"/>
      <c r="F110" s="40"/>
      <c r="G110" s="40"/>
      <c r="H110" s="40"/>
      <c r="I110" s="19">
        <v>0</v>
      </c>
      <c r="J110" s="19">
        <f t="shared" ref="J110:V110" si="209">IF(AND($D$110&gt;J69,$D$110&lt;=J85),1,0)*J83</f>
        <v>0</v>
      </c>
      <c r="K110" s="19">
        <f t="shared" si="209"/>
        <v>0</v>
      </c>
      <c r="L110" s="19">
        <f t="shared" si="209"/>
        <v>0</v>
      </c>
      <c r="M110" s="19">
        <f t="shared" si="209"/>
        <v>0</v>
      </c>
      <c r="N110" s="19">
        <f t="shared" si="209"/>
        <v>0</v>
      </c>
      <c r="O110" s="19">
        <f t="shared" si="209"/>
        <v>351225</v>
      </c>
      <c r="P110" s="19">
        <f t="shared" si="209"/>
        <v>421470</v>
      </c>
      <c r="Q110" s="19">
        <f t="shared" si="209"/>
        <v>0</v>
      </c>
      <c r="R110" s="19">
        <f t="shared" si="209"/>
        <v>0</v>
      </c>
      <c r="S110" s="19">
        <f t="shared" si="209"/>
        <v>0</v>
      </c>
      <c r="T110" s="19">
        <f t="shared" si="209"/>
        <v>0</v>
      </c>
      <c r="U110" s="19">
        <f t="shared" si="209"/>
        <v>0</v>
      </c>
      <c r="V110" s="19">
        <f t="shared" si="209"/>
        <v>0</v>
      </c>
      <c r="W110" s="19">
        <f t="shared" si="197"/>
        <v>772695</v>
      </c>
      <c r="X110" s="21"/>
      <c r="Z110" s="174">
        <v>44166</v>
      </c>
      <c r="AA110" s="172">
        <f t="shared" si="198"/>
        <v>44197</v>
      </c>
      <c r="AB110" s="150"/>
      <c r="AC110" s="40"/>
      <c r="AD110" s="40"/>
      <c r="AE110" s="40"/>
      <c r="AF110" s="19">
        <v>0</v>
      </c>
      <c r="AG110" s="19">
        <f t="shared" ref="AG110:AS110" si="210">IF(AND($AA$110&gt;AG69,$AA$110&lt;=AG85),1,0)*AG83</f>
        <v>0</v>
      </c>
      <c r="AH110" s="19">
        <f t="shared" si="210"/>
        <v>0</v>
      </c>
      <c r="AI110" s="19">
        <f t="shared" si="210"/>
        <v>0</v>
      </c>
      <c r="AJ110" s="19">
        <f t="shared" si="210"/>
        <v>0</v>
      </c>
      <c r="AK110" s="19">
        <f t="shared" si="210"/>
        <v>0</v>
      </c>
      <c r="AL110" s="19">
        <f t="shared" si="210"/>
        <v>351225</v>
      </c>
      <c r="AM110" s="19">
        <f t="shared" si="210"/>
        <v>421470</v>
      </c>
      <c r="AN110" s="19">
        <f t="shared" si="210"/>
        <v>0</v>
      </c>
      <c r="AO110" s="19">
        <f t="shared" si="210"/>
        <v>0</v>
      </c>
      <c r="AP110" s="19">
        <f t="shared" si="210"/>
        <v>0</v>
      </c>
      <c r="AQ110" s="19">
        <f t="shared" si="210"/>
        <v>0</v>
      </c>
      <c r="AR110" s="19">
        <f t="shared" si="210"/>
        <v>0</v>
      </c>
      <c r="AS110" s="19">
        <f t="shared" si="210"/>
        <v>0</v>
      </c>
      <c r="AT110" s="19">
        <f t="shared" si="200"/>
        <v>772695</v>
      </c>
      <c r="AU110" s="21"/>
    </row>
    <row r="111" spans="3:47" ht="15.75" x14ac:dyDescent="0.25">
      <c r="C111" s="174">
        <v>44197</v>
      </c>
      <c r="D111" s="172">
        <f t="shared" si="195"/>
        <v>44228</v>
      </c>
      <c r="E111" s="150"/>
      <c r="F111" s="40"/>
      <c r="G111" s="40"/>
      <c r="H111" s="40"/>
      <c r="I111" s="19">
        <v>0</v>
      </c>
      <c r="J111" s="19">
        <f t="shared" ref="J111:V111" si="211">IF(AND($D$111&gt;J69,$D$111&lt;=J85),1,0)*J83</f>
        <v>0</v>
      </c>
      <c r="K111" s="19">
        <f t="shared" si="211"/>
        <v>0</v>
      </c>
      <c r="L111" s="19">
        <f t="shared" si="211"/>
        <v>0</v>
      </c>
      <c r="M111" s="19">
        <f t="shared" si="211"/>
        <v>0</v>
      </c>
      <c r="N111" s="19">
        <f t="shared" si="211"/>
        <v>0</v>
      </c>
      <c r="O111" s="19">
        <f t="shared" si="211"/>
        <v>0</v>
      </c>
      <c r="P111" s="19">
        <f t="shared" si="211"/>
        <v>421470</v>
      </c>
      <c r="Q111" s="19">
        <f t="shared" si="211"/>
        <v>491715</v>
      </c>
      <c r="R111" s="19">
        <f t="shared" si="211"/>
        <v>0</v>
      </c>
      <c r="S111" s="19">
        <f t="shared" si="211"/>
        <v>0</v>
      </c>
      <c r="T111" s="19">
        <f t="shared" si="211"/>
        <v>0</v>
      </c>
      <c r="U111" s="19">
        <f t="shared" si="211"/>
        <v>0</v>
      </c>
      <c r="V111" s="19">
        <f t="shared" si="211"/>
        <v>0</v>
      </c>
      <c r="W111" s="19">
        <f t="shared" si="197"/>
        <v>913185</v>
      </c>
      <c r="X111" s="21"/>
      <c r="Z111" s="174">
        <v>44197</v>
      </c>
      <c r="AA111" s="172">
        <f t="shared" si="198"/>
        <v>44228</v>
      </c>
      <c r="AB111" s="150"/>
      <c r="AC111" s="40"/>
      <c r="AD111" s="40"/>
      <c r="AE111" s="40"/>
      <c r="AF111" s="19">
        <v>0</v>
      </c>
      <c r="AG111" s="19">
        <f t="shared" ref="AG111:AS111" si="212">IF(AND($AA$111&gt;AG69,$AA$111&lt;=AG85),1,0)*AG83</f>
        <v>0</v>
      </c>
      <c r="AH111" s="19">
        <f t="shared" si="212"/>
        <v>0</v>
      </c>
      <c r="AI111" s="19">
        <f t="shared" si="212"/>
        <v>0</v>
      </c>
      <c r="AJ111" s="19">
        <f t="shared" si="212"/>
        <v>0</v>
      </c>
      <c r="AK111" s="19">
        <f t="shared" si="212"/>
        <v>0</v>
      </c>
      <c r="AL111" s="19">
        <f t="shared" si="212"/>
        <v>0</v>
      </c>
      <c r="AM111" s="19">
        <f t="shared" si="212"/>
        <v>421470</v>
      </c>
      <c r="AN111" s="19">
        <f t="shared" si="212"/>
        <v>491715</v>
      </c>
      <c r="AO111" s="19">
        <f t="shared" si="212"/>
        <v>0</v>
      </c>
      <c r="AP111" s="19">
        <f t="shared" si="212"/>
        <v>0</v>
      </c>
      <c r="AQ111" s="19">
        <f t="shared" si="212"/>
        <v>0</v>
      </c>
      <c r="AR111" s="19">
        <f t="shared" si="212"/>
        <v>0</v>
      </c>
      <c r="AS111" s="19">
        <f t="shared" si="212"/>
        <v>0</v>
      </c>
      <c r="AT111" s="19">
        <f t="shared" si="200"/>
        <v>913185</v>
      </c>
      <c r="AU111" s="21"/>
    </row>
    <row r="112" spans="3:47" ht="15.75" x14ac:dyDescent="0.25">
      <c r="C112" s="174">
        <v>44228</v>
      </c>
      <c r="D112" s="172">
        <f t="shared" si="195"/>
        <v>44256</v>
      </c>
      <c r="E112" s="150"/>
      <c r="F112" s="40"/>
      <c r="G112" s="40"/>
      <c r="H112" s="40"/>
      <c r="I112" s="19">
        <v>0</v>
      </c>
      <c r="J112" s="19">
        <f t="shared" ref="J112:V112" si="213">IF(AND($D$112&gt;J69,$D$112&lt;=J85),1,0)*J83</f>
        <v>0</v>
      </c>
      <c r="K112" s="19">
        <f t="shared" si="213"/>
        <v>0</v>
      </c>
      <c r="L112" s="19">
        <f t="shared" si="213"/>
        <v>0</v>
      </c>
      <c r="M112" s="19">
        <f t="shared" si="213"/>
        <v>0</v>
      </c>
      <c r="N112" s="19">
        <f t="shared" si="213"/>
        <v>0</v>
      </c>
      <c r="O112" s="19">
        <f t="shared" si="213"/>
        <v>0</v>
      </c>
      <c r="P112" s="19">
        <f t="shared" si="213"/>
        <v>0</v>
      </c>
      <c r="Q112" s="19">
        <f t="shared" si="213"/>
        <v>491715</v>
      </c>
      <c r="R112" s="19">
        <f t="shared" si="213"/>
        <v>280980</v>
      </c>
      <c r="S112" s="19">
        <f t="shared" si="213"/>
        <v>0</v>
      </c>
      <c r="T112" s="19">
        <f t="shared" si="213"/>
        <v>0</v>
      </c>
      <c r="U112" s="19">
        <f t="shared" si="213"/>
        <v>0</v>
      </c>
      <c r="V112" s="19">
        <f t="shared" si="213"/>
        <v>0</v>
      </c>
      <c r="W112" s="19">
        <f t="shared" si="197"/>
        <v>772695</v>
      </c>
      <c r="X112" s="21"/>
      <c r="Z112" s="174">
        <v>44228</v>
      </c>
      <c r="AA112" s="172">
        <f t="shared" si="198"/>
        <v>44256</v>
      </c>
      <c r="AB112" s="150"/>
      <c r="AC112" s="40"/>
      <c r="AD112" s="40"/>
      <c r="AE112" s="40"/>
      <c r="AF112" s="19">
        <v>0</v>
      </c>
      <c r="AG112" s="19">
        <f t="shared" ref="AG112:AS112" si="214">IF(AND($AA$112&gt;AG69,$AA$112&lt;=AG85),1,0)*AG83</f>
        <v>0</v>
      </c>
      <c r="AH112" s="19">
        <f t="shared" si="214"/>
        <v>0</v>
      </c>
      <c r="AI112" s="19">
        <f t="shared" si="214"/>
        <v>0</v>
      </c>
      <c r="AJ112" s="19">
        <f t="shared" si="214"/>
        <v>0</v>
      </c>
      <c r="AK112" s="19">
        <f t="shared" si="214"/>
        <v>0</v>
      </c>
      <c r="AL112" s="19">
        <f t="shared" si="214"/>
        <v>0</v>
      </c>
      <c r="AM112" s="19">
        <f t="shared" si="214"/>
        <v>0</v>
      </c>
      <c r="AN112" s="19">
        <f t="shared" si="214"/>
        <v>491715</v>
      </c>
      <c r="AO112" s="19">
        <f t="shared" si="214"/>
        <v>280980</v>
      </c>
      <c r="AP112" s="19">
        <f t="shared" si="214"/>
        <v>0</v>
      </c>
      <c r="AQ112" s="19">
        <f t="shared" si="214"/>
        <v>0</v>
      </c>
      <c r="AR112" s="19">
        <f t="shared" si="214"/>
        <v>0</v>
      </c>
      <c r="AS112" s="19">
        <f t="shared" si="214"/>
        <v>0</v>
      </c>
      <c r="AT112" s="19">
        <f t="shared" si="200"/>
        <v>772695</v>
      </c>
      <c r="AU112" s="21"/>
    </row>
    <row r="113" spans="3:47" ht="15.75" x14ac:dyDescent="0.25">
      <c r="C113" s="174">
        <v>44256</v>
      </c>
      <c r="D113" s="172">
        <f t="shared" si="195"/>
        <v>44287</v>
      </c>
      <c r="E113" s="150"/>
      <c r="F113" s="40"/>
      <c r="G113" s="40"/>
      <c r="H113" s="40"/>
      <c r="I113" s="19">
        <v>0</v>
      </c>
      <c r="J113" s="19">
        <f t="shared" ref="J113:V113" si="215">IF(AND($D$113&gt;J69,$D$113&lt;=J85),1,0)*J83</f>
        <v>0</v>
      </c>
      <c r="K113" s="19">
        <f t="shared" si="215"/>
        <v>0</v>
      </c>
      <c r="L113" s="19">
        <f t="shared" si="215"/>
        <v>0</v>
      </c>
      <c r="M113" s="19">
        <f t="shared" si="215"/>
        <v>0</v>
      </c>
      <c r="N113" s="19">
        <f t="shared" si="215"/>
        <v>0</v>
      </c>
      <c r="O113" s="19">
        <f t="shared" si="215"/>
        <v>0</v>
      </c>
      <c r="P113" s="19">
        <f t="shared" si="215"/>
        <v>0</v>
      </c>
      <c r="Q113" s="19">
        <f t="shared" si="215"/>
        <v>0</v>
      </c>
      <c r="R113" s="19">
        <f t="shared" si="215"/>
        <v>280980</v>
      </c>
      <c r="S113" s="19">
        <f t="shared" si="215"/>
        <v>491715</v>
      </c>
      <c r="T113" s="19">
        <f t="shared" si="215"/>
        <v>0</v>
      </c>
      <c r="U113" s="19">
        <f t="shared" si="215"/>
        <v>0</v>
      </c>
      <c r="V113" s="19">
        <f t="shared" si="215"/>
        <v>0</v>
      </c>
      <c r="W113" s="19">
        <f t="shared" si="197"/>
        <v>772695</v>
      </c>
      <c r="X113" s="21"/>
      <c r="Z113" s="174">
        <v>44256</v>
      </c>
      <c r="AA113" s="172">
        <f t="shared" si="198"/>
        <v>44287</v>
      </c>
      <c r="AB113" s="150"/>
      <c r="AC113" s="40"/>
      <c r="AD113" s="40"/>
      <c r="AE113" s="40"/>
      <c r="AF113" s="19">
        <v>0</v>
      </c>
      <c r="AG113" s="19">
        <f t="shared" ref="AG113:AS113" si="216">IF(AND($AA$113&gt;AG69,$AA$113&lt;=AG85),1,0)*AG83</f>
        <v>0</v>
      </c>
      <c r="AH113" s="19">
        <f t="shared" si="216"/>
        <v>0</v>
      </c>
      <c r="AI113" s="19">
        <f t="shared" si="216"/>
        <v>0</v>
      </c>
      <c r="AJ113" s="19">
        <f t="shared" si="216"/>
        <v>0</v>
      </c>
      <c r="AK113" s="19">
        <f t="shared" si="216"/>
        <v>0</v>
      </c>
      <c r="AL113" s="19">
        <f t="shared" si="216"/>
        <v>0</v>
      </c>
      <c r="AM113" s="19">
        <f t="shared" si="216"/>
        <v>0</v>
      </c>
      <c r="AN113" s="19">
        <f t="shared" si="216"/>
        <v>0</v>
      </c>
      <c r="AO113" s="19">
        <f t="shared" si="216"/>
        <v>280980</v>
      </c>
      <c r="AP113" s="19">
        <f t="shared" si="216"/>
        <v>491715</v>
      </c>
      <c r="AQ113" s="19">
        <f t="shared" si="216"/>
        <v>0</v>
      </c>
      <c r="AR113" s="19">
        <f t="shared" si="216"/>
        <v>0</v>
      </c>
      <c r="AS113" s="19">
        <f t="shared" si="216"/>
        <v>0</v>
      </c>
      <c r="AT113" s="19">
        <f t="shared" si="200"/>
        <v>772695</v>
      </c>
      <c r="AU113" s="21"/>
    </row>
    <row r="114" spans="3:47" ht="15.75" x14ac:dyDescent="0.25">
      <c r="C114" s="174">
        <v>44287</v>
      </c>
      <c r="D114" s="172">
        <f t="shared" si="195"/>
        <v>44317</v>
      </c>
      <c r="E114" s="150"/>
      <c r="F114" s="40"/>
      <c r="G114" s="40"/>
      <c r="H114" s="40"/>
      <c r="I114" s="19">
        <v>0</v>
      </c>
      <c r="J114" s="19">
        <f t="shared" ref="J114:V114" si="217">IF(AND($D$114&gt;J69,$D$114&lt;=J85),1,0)*J83</f>
        <v>0</v>
      </c>
      <c r="K114" s="19">
        <f t="shared" si="217"/>
        <v>0</v>
      </c>
      <c r="L114" s="19">
        <f t="shared" si="217"/>
        <v>0</v>
      </c>
      <c r="M114" s="19">
        <f t="shared" si="217"/>
        <v>0</v>
      </c>
      <c r="N114" s="19">
        <f t="shared" si="217"/>
        <v>0</v>
      </c>
      <c r="O114" s="19">
        <f t="shared" si="217"/>
        <v>0</v>
      </c>
      <c r="P114" s="19">
        <f t="shared" si="217"/>
        <v>0</v>
      </c>
      <c r="Q114" s="19">
        <f t="shared" si="217"/>
        <v>0</v>
      </c>
      <c r="R114" s="19">
        <f t="shared" si="217"/>
        <v>0</v>
      </c>
      <c r="S114" s="19">
        <f t="shared" si="217"/>
        <v>491715</v>
      </c>
      <c r="T114" s="19">
        <f t="shared" si="217"/>
        <v>561960</v>
      </c>
      <c r="U114" s="19">
        <f t="shared" si="217"/>
        <v>0</v>
      </c>
      <c r="V114" s="19">
        <f t="shared" si="217"/>
        <v>0</v>
      </c>
      <c r="W114" s="19">
        <f t="shared" si="197"/>
        <v>1053675</v>
      </c>
      <c r="X114" s="21"/>
      <c r="Z114" s="174">
        <v>44287</v>
      </c>
      <c r="AA114" s="172">
        <f t="shared" si="198"/>
        <v>44317</v>
      </c>
      <c r="AB114" s="150"/>
      <c r="AC114" s="40"/>
      <c r="AD114" s="40"/>
      <c r="AE114" s="40"/>
      <c r="AF114" s="19">
        <v>0</v>
      </c>
      <c r="AG114" s="19">
        <f t="shared" ref="AG114:AS114" si="218">IF(AND($AA$114&gt;AG69,$AA$114&lt;=AG85),1,0)*AG83</f>
        <v>0</v>
      </c>
      <c r="AH114" s="19">
        <f t="shared" si="218"/>
        <v>0</v>
      </c>
      <c r="AI114" s="19">
        <f t="shared" si="218"/>
        <v>0</v>
      </c>
      <c r="AJ114" s="19">
        <f t="shared" si="218"/>
        <v>0</v>
      </c>
      <c r="AK114" s="19">
        <f t="shared" si="218"/>
        <v>0</v>
      </c>
      <c r="AL114" s="19">
        <f t="shared" si="218"/>
        <v>0</v>
      </c>
      <c r="AM114" s="19">
        <f t="shared" si="218"/>
        <v>0</v>
      </c>
      <c r="AN114" s="19">
        <f t="shared" si="218"/>
        <v>0</v>
      </c>
      <c r="AO114" s="19">
        <f t="shared" si="218"/>
        <v>0</v>
      </c>
      <c r="AP114" s="19">
        <f t="shared" si="218"/>
        <v>491715</v>
      </c>
      <c r="AQ114" s="19">
        <f t="shared" si="218"/>
        <v>561960</v>
      </c>
      <c r="AR114" s="19">
        <f t="shared" si="218"/>
        <v>0</v>
      </c>
      <c r="AS114" s="19">
        <f t="shared" si="218"/>
        <v>0</v>
      </c>
      <c r="AT114" s="19">
        <f t="shared" si="200"/>
        <v>1053675</v>
      </c>
      <c r="AU114" s="21"/>
    </row>
    <row r="115" spans="3:47" ht="15.75" x14ac:dyDescent="0.25">
      <c r="C115" s="174">
        <v>44317</v>
      </c>
      <c r="D115" s="172">
        <f t="shared" si="195"/>
        <v>44348</v>
      </c>
      <c r="E115" s="150"/>
      <c r="F115" s="40"/>
      <c r="G115" s="40"/>
      <c r="H115" s="40"/>
      <c r="I115" s="19">
        <v>0</v>
      </c>
      <c r="J115" s="19">
        <f t="shared" ref="J115:V115" si="219">IF(AND($D$115&gt;J69,$D$115&lt;=J85),1,0)*J83</f>
        <v>0</v>
      </c>
      <c r="K115" s="19">
        <f t="shared" si="219"/>
        <v>0</v>
      </c>
      <c r="L115" s="19">
        <f t="shared" si="219"/>
        <v>0</v>
      </c>
      <c r="M115" s="19">
        <f t="shared" si="219"/>
        <v>0</v>
      </c>
      <c r="N115" s="19">
        <f t="shared" si="219"/>
        <v>0</v>
      </c>
      <c r="O115" s="19">
        <f t="shared" si="219"/>
        <v>0</v>
      </c>
      <c r="P115" s="19">
        <f t="shared" si="219"/>
        <v>0</v>
      </c>
      <c r="Q115" s="19">
        <f t="shared" si="219"/>
        <v>0</v>
      </c>
      <c r="R115" s="19">
        <f t="shared" si="219"/>
        <v>0</v>
      </c>
      <c r="S115" s="19">
        <f t="shared" si="219"/>
        <v>0</v>
      </c>
      <c r="T115" s="19">
        <f t="shared" si="219"/>
        <v>561960</v>
      </c>
      <c r="U115" s="19">
        <f t="shared" si="219"/>
        <v>632205</v>
      </c>
      <c r="V115" s="19">
        <f t="shared" si="219"/>
        <v>0</v>
      </c>
      <c r="W115" s="19">
        <f t="shared" si="197"/>
        <v>1194165</v>
      </c>
      <c r="X115" s="21"/>
      <c r="Z115" s="174">
        <v>44317</v>
      </c>
      <c r="AA115" s="172">
        <f t="shared" si="198"/>
        <v>44348</v>
      </c>
      <c r="AB115" s="150"/>
      <c r="AC115" s="40"/>
      <c r="AD115" s="40"/>
      <c r="AE115" s="40"/>
      <c r="AF115" s="19">
        <v>0</v>
      </c>
      <c r="AG115" s="19">
        <f t="shared" ref="AG115:AS115" si="220">IF(AND($AA$115&gt;AG69,$AA$115&lt;=AG85),1,0)*AG83</f>
        <v>0</v>
      </c>
      <c r="AH115" s="19">
        <f t="shared" si="220"/>
        <v>0</v>
      </c>
      <c r="AI115" s="19">
        <f t="shared" si="220"/>
        <v>0</v>
      </c>
      <c r="AJ115" s="19">
        <f t="shared" si="220"/>
        <v>0</v>
      </c>
      <c r="AK115" s="19">
        <f t="shared" si="220"/>
        <v>0</v>
      </c>
      <c r="AL115" s="19">
        <f t="shared" si="220"/>
        <v>0</v>
      </c>
      <c r="AM115" s="19">
        <f t="shared" si="220"/>
        <v>0</v>
      </c>
      <c r="AN115" s="19">
        <f t="shared" si="220"/>
        <v>0</v>
      </c>
      <c r="AO115" s="19">
        <f t="shared" si="220"/>
        <v>0</v>
      </c>
      <c r="AP115" s="19">
        <f t="shared" si="220"/>
        <v>0</v>
      </c>
      <c r="AQ115" s="19">
        <f t="shared" si="220"/>
        <v>561960</v>
      </c>
      <c r="AR115" s="19">
        <f t="shared" si="220"/>
        <v>632205</v>
      </c>
      <c r="AS115" s="19">
        <f t="shared" si="220"/>
        <v>0</v>
      </c>
      <c r="AT115" s="19">
        <f t="shared" si="200"/>
        <v>1194165</v>
      </c>
      <c r="AU115" s="21"/>
    </row>
    <row r="116" spans="3:47" ht="15.75" x14ac:dyDescent="0.25">
      <c r="C116" s="174">
        <v>44348</v>
      </c>
      <c r="D116" s="172">
        <f t="shared" si="195"/>
        <v>44378</v>
      </c>
      <c r="E116" s="150"/>
      <c r="F116" s="40"/>
      <c r="G116" s="40"/>
      <c r="H116" s="40"/>
      <c r="I116" s="19">
        <v>0</v>
      </c>
      <c r="J116" s="19">
        <f t="shared" ref="J116:V116" si="221">IF(AND($D$116&gt;J69,$D$116&lt;=J85),1,0)*J83</f>
        <v>0</v>
      </c>
      <c r="K116" s="19">
        <f t="shared" si="221"/>
        <v>0</v>
      </c>
      <c r="L116" s="19">
        <f t="shared" si="221"/>
        <v>0</v>
      </c>
      <c r="M116" s="19">
        <f t="shared" si="221"/>
        <v>0</v>
      </c>
      <c r="N116" s="19">
        <f t="shared" si="221"/>
        <v>0</v>
      </c>
      <c r="O116" s="19">
        <f t="shared" si="221"/>
        <v>0</v>
      </c>
      <c r="P116" s="19">
        <f t="shared" si="221"/>
        <v>0</v>
      </c>
      <c r="Q116" s="19">
        <f t="shared" si="221"/>
        <v>0</v>
      </c>
      <c r="R116" s="19">
        <f t="shared" si="221"/>
        <v>0</v>
      </c>
      <c r="S116" s="19">
        <f t="shared" si="221"/>
        <v>0</v>
      </c>
      <c r="T116" s="19">
        <f t="shared" si="221"/>
        <v>0</v>
      </c>
      <c r="U116" s="19">
        <f t="shared" si="221"/>
        <v>632205</v>
      </c>
      <c r="V116" s="19">
        <f t="shared" si="221"/>
        <v>702450</v>
      </c>
      <c r="W116" s="19">
        <f t="shared" si="197"/>
        <v>1334655</v>
      </c>
      <c r="X116" s="21"/>
      <c r="Z116" s="174">
        <v>44348</v>
      </c>
      <c r="AA116" s="172">
        <f t="shared" si="198"/>
        <v>44378</v>
      </c>
      <c r="AB116" s="150"/>
      <c r="AC116" s="40"/>
      <c r="AD116" s="40"/>
      <c r="AE116" s="40"/>
      <c r="AF116" s="19">
        <v>0</v>
      </c>
      <c r="AG116" s="19">
        <f t="shared" ref="AG116:AS116" si="222">IF(AND($AA$116&gt;AG69,$AA$116&lt;=AG85),1,0)*AG83</f>
        <v>0</v>
      </c>
      <c r="AH116" s="19">
        <f t="shared" si="222"/>
        <v>0</v>
      </c>
      <c r="AI116" s="19">
        <f t="shared" si="222"/>
        <v>0</v>
      </c>
      <c r="AJ116" s="19">
        <f t="shared" si="222"/>
        <v>0</v>
      </c>
      <c r="AK116" s="19">
        <f t="shared" si="222"/>
        <v>0</v>
      </c>
      <c r="AL116" s="19">
        <f t="shared" si="222"/>
        <v>0</v>
      </c>
      <c r="AM116" s="19">
        <f t="shared" si="222"/>
        <v>0</v>
      </c>
      <c r="AN116" s="19">
        <f t="shared" si="222"/>
        <v>0</v>
      </c>
      <c r="AO116" s="19">
        <f t="shared" si="222"/>
        <v>0</v>
      </c>
      <c r="AP116" s="19">
        <f t="shared" si="222"/>
        <v>0</v>
      </c>
      <c r="AQ116" s="19">
        <f t="shared" si="222"/>
        <v>0</v>
      </c>
      <c r="AR116" s="19">
        <f t="shared" si="222"/>
        <v>632205</v>
      </c>
      <c r="AS116" s="19">
        <f t="shared" si="222"/>
        <v>702450</v>
      </c>
      <c r="AT116" s="19">
        <f t="shared" si="200"/>
        <v>1334655</v>
      </c>
      <c r="AU116" s="21"/>
    </row>
    <row r="117" spans="3:47" ht="15.75" x14ac:dyDescent="0.25">
      <c r="C117" s="23"/>
      <c r="D117" s="150"/>
      <c r="E117" s="150"/>
      <c r="F117" s="40"/>
      <c r="G117" s="40"/>
      <c r="H117" s="40"/>
      <c r="I117" s="7"/>
      <c r="J117" s="7"/>
      <c r="K117" s="7"/>
      <c r="L117" s="7"/>
      <c r="M117" s="7"/>
      <c r="N117" s="7"/>
      <c r="O117" s="7"/>
      <c r="P117" s="7"/>
      <c r="Q117" s="7"/>
      <c r="R117" s="7"/>
      <c r="S117" s="7"/>
      <c r="T117" s="7"/>
      <c r="U117" s="7"/>
      <c r="V117" s="19"/>
      <c r="W117" s="19"/>
      <c r="X117" s="21"/>
      <c r="Z117" s="23"/>
      <c r="AA117" s="150"/>
      <c r="AB117" s="150"/>
      <c r="AC117" s="40"/>
      <c r="AD117" s="40"/>
      <c r="AE117" s="40"/>
      <c r="AS117" s="19"/>
      <c r="AT117" s="19"/>
      <c r="AU117" s="21"/>
    </row>
    <row r="118" spans="3:47" ht="15.75" x14ac:dyDescent="0.25">
      <c r="C118" s="23" t="s">
        <v>192</v>
      </c>
      <c r="D118" s="150"/>
      <c r="E118" s="150"/>
      <c r="F118" s="40"/>
      <c r="G118" s="40"/>
      <c r="H118" s="40"/>
      <c r="I118" s="176">
        <v>0</v>
      </c>
      <c r="J118" s="177">
        <v>30</v>
      </c>
      <c r="K118" s="177">
        <v>60</v>
      </c>
      <c r="L118" s="177">
        <v>90</v>
      </c>
      <c r="M118" s="177">
        <v>120</v>
      </c>
      <c r="N118" s="177">
        <v>150</v>
      </c>
      <c r="O118" s="177">
        <v>180</v>
      </c>
      <c r="P118" s="177">
        <v>210</v>
      </c>
      <c r="Q118" s="177">
        <v>240</v>
      </c>
      <c r="R118" s="177">
        <v>260</v>
      </c>
      <c r="S118" s="177">
        <v>290</v>
      </c>
      <c r="T118" s="177">
        <v>320</v>
      </c>
      <c r="U118" s="177">
        <v>360</v>
      </c>
      <c r="V118" s="19"/>
      <c r="W118" s="19"/>
      <c r="X118" s="21"/>
      <c r="Z118" s="23" t="s">
        <v>192</v>
      </c>
      <c r="AA118" s="150"/>
      <c r="AB118" s="150"/>
      <c r="AC118" s="40"/>
      <c r="AD118" s="40"/>
      <c r="AE118" s="40"/>
      <c r="AF118" s="176">
        <v>0</v>
      </c>
      <c r="AG118" s="177">
        <v>30</v>
      </c>
      <c r="AH118" s="177">
        <v>60</v>
      </c>
      <c r="AI118" s="177">
        <v>90</v>
      </c>
      <c r="AJ118" s="177">
        <v>120</v>
      </c>
      <c r="AK118" s="177">
        <v>150</v>
      </c>
      <c r="AL118" s="177">
        <v>180</v>
      </c>
      <c r="AM118" s="177">
        <v>210</v>
      </c>
      <c r="AN118" s="177">
        <v>240</v>
      </c>
      <c r="AO118" s="177">
        <v>260</v>
      </c>
      <c r="AP118" s="177">
        <v>290</v>
      </c>
      <c r="AQ118" s="177">
        <v>320</v>
      </c>
      <c r="AR118" s="177">
        <v>360</v>
      </c>
      <c r="AS118" s="19"/>
      <c r="AT118" s="19"/>
      <c r="AU118" s="21"/>
    </row>
    <row r="119" spans="3:47" ht="18" x14ac:dyDescent="0.4">
      <c r="C119" s="174"/>
      <c r="D119" s="150"/>
      <c r="E119" s="150"/>
      <c r="F119" s="40"/>
      <c r="G119" s="40"/>
      <c r="H119" s="40"/>
      <c r="I119" s="179" t="s">
        <v>193</v>
      </c>
      <c r="J119" s="180" t="s">
        <v>175</v>
      </c>
      <c r="K119" s="180" t="s">
        <v>177</v>
      </c>
      <c r="L119" s="180" t="s">
        <v>178</v>
      </c>
      <c r="M119" s="180" t="s">
        <v>179</v>
      </c>
      <c r="N119" s="180" t="s">
        <v>180</v>
      </c>
      <c r="O119" s="180" t="s">
        <v>181</v>
      </c>
      <c r="P119" s="180" t="s">
        <v>182</v>
      </c>
      <c r="Q119" s="180" t="s">
        <v>183</v>
      </c>
      <c r="R119" s="180" t="s">
        <v>184</v>
      </c>
      <c r="S119" s="180" t="s">
        <v>185</v>
      </c>
      <c r="T119" s="180" t="s">
        <v>186</v>
      </c>
      <c r="U119" s="180" t="s">
        <v>187</v>
      </c>
      <c r="V119" s="19"/>
      <c r="W119" s="19"/>
      <c r="X119" s="21"/>
      <c r="Z119" s="174"/>
      <c r="AA119" s="150"/>
      <c r="AB119" s="150"/>
      <c r="AC119" s="40"/>
      <c r="AD119" s="40"/>
      <c r="AE119" s="40"/>
      <c r="AF119" s="179" t="s">
        <v>193</v>
      </c>
      <c r="AG119" s="180" t="s">
        <v>175</v>
      </c>
      <c r="AH119" s="180" t="s">
        <v>177</v>
      </c>
      <c r="AI119" s="180" t="s">
        <v>178</v>
      </c>
      <c r="AJ119" s="180" t="s">
        <v>179</v>
      </c>
      <c r="AK119" s="180" t="s">
        <v>180</v>
      </c>
      <c r="AL119" s="180" t="s">
        <v>181</v>
      </c>
      <c r="AM119" s="180" t="s">
        <v>182</v>
      </c>
      <c r="AN119" s="180" t="s">
        <v>183</v>
      </c>
      <c r="AO119" s="180" t="s">
        <v>184</v>
      </c>
      <c r="AP119" s="180" t="s">
        <v>185</v>
      </c>
      <c r="AQ119" s="180" t="s">
        <v>186</v>
      </c>
      <c r="AR119" s="180" t="s">
        <v>187</v>
      </c>
      <c r="AS119" s="19"/>
      <c r="AT119" s="19"/>
      <c r="AU119" s="21"/>
    </row>
    <row r="120" spans="3:47" ht="15.75" x14ac:dyDescent="0.25">
      <c r="C120" s="174">
        <f t="array" ref="C120:C132">TRANSPOSE(J69:V69)</f>
        <v>43983</v>
      </c>
      <c r="D120" s="40"/>
      <c r="E120" s="150"/>
      <c r="F120" s="40"/>
      <c r="G120" s="40"/>
      <c r="H120" s="40"/>
      <c r="I120" s="19">
        <f t="array" ref="I120:I132">TRANSPOSE(J78:V78)</f>
        <v>600000</v>
      </c>
      <c r="J120" s="19">
        <f t="shared" ref="J120:U120" ca="1" si="223">IF(J69&gt;$C$120,0,OFFSET($I$104,0,MAX((ROUND(($C$120-J69)/30+1,0)),0)))</f>
        <v>351225</v>
      </c>
      <c r="K120" s="19">
        <f t="shared" ca="1" si="223"/>
        <v>0</v>
      </c>
      <c r="L120" s="19">
        <f t="shared" ca="1" si="223"/>
        <v>0</v>
      </c>
      <c r="M120" s="19">
        <f t="shared" ca="1" si="223"/>
        <v>0</v>
      </c>
      <c r="N120" s="19">
        <f t="shared" ca="1" si="223"/>
        <v>0</v>
      </c>
      <c r="O120" s="19">
        <f t="shared" ca="1" si="223"/>
        <v>0</v>
      </c>
      <c r="P120" s="19">
        <f t="shared" ca="1" si="223"/>
        <v>0</v>
      </c>
      <c r="Q120" s="19">
        <f t="shared" ca="1" si="223"/>
        <v>0</v>
      </c>
      <c r="R120" s="19">
        <f t="shared" ca="1" si="223"/>
        <v>0</v>
      </c>
      <c r="S120" s="19">
        <f t="shared" ca="1" si="223"/>
        <v>0</v>
      </c>
      <c r="T120" s="19">
        <f t="shared" ca="1" si="223"/>
        <v>0</v>
      </c>
      <c r="U120" s="19">
        <f t="shared" ca="1" si="223"/>
        <v>0</v>
      </c>
      <c r="V120" s="19"/>
      <c r="W120" s="19"/>
      <c r="X120" s="21"/>
      <c r="Z120" s="174">
        <f t="array" ref="Z120:Z132">TRANSPOSE(AG69:AS69)</f>
        <v>43983</v>
      </c>
      <c r="AA120" s="40"/>
      <c r="AB120" s="150"/>
      <c r="AC120" s="40"/>
      <c r="AD120" s="40"/>
      <c r="AE120" s="40"/>
      <c r="AF120" s="19">
        <f t="array" ref="AF120:AF132">TRANSPOSE(AG78:AS78)</f>
        <v>0</v>
      </c>
      <c r="AG120" s="19">
        <f t="shared" ref="AG120:AR120" ca="1" si="224">IF(AG69&gt;$Z$120,0,OFFSET($AF$104,0,MAX((ROUND(($Z$120-AG69)/30+1,0)),0)))</f>
        <v>351225</v>
      </c>
      <c r="AH120" s="19">
        <f t="shared" ca="1" si="224"/>
        <v>0</v>
      </c>
      <c r="AI120" s="19">
        <f t="shared" ca="1" si="224"/>
        <v>0</v>
      </c>
      <c r="AJ120" s="19">
        <f t="shared" ca="1" si="224"/>
        <v>0</v>
      </c>
      <c r="AK120" s="19">
        <f t="shared" ca="1" si="224"/>
        <v>0</v>
      </c>
      <c r="AL120" s="19">
        <f t="shared" ca="1" si="224"/>
        <v>0</v>
      </c>
      <c r="AM120" s="19">
        <f t="shared" ca="1" si="224"/>
        <v>0</v>
      </c>
      <c r="AN120" s="19">
        <f t="shared" ca="1" si="224"/>
        <v>0</v>
      </c>
      <c r="AO120" s="19">
        <f t="shared" ca="1" si="224"/>
        <v>0</v>
      </c>
      <c r="AP120" s="19">
        <f t="shared" ca="1" si="224"/>
        <v>0</v>
      </c>
      <c r="AQ120" s="19">
        <f t="shared" ca="1" si="224"/>
        <v>0</v>
      </c>
      <c r="AR120" s="19">
        <f t="shared" ca="1" si="224"/>
        <v>0</v>
      </c>
      <c r="AS120" s="19"/>
      <c r="AT120" s="19"/>
      <c r="AU120" s="21"/>
    </row>
    <row r="121" spans="3:47" ht="15.75" x14ac:dyDescent="0.25">
      <c r="C121" s="174">
        <v>44013</v>
      </c>
      <c r="D121" s="40"/>
      <c r="E121" s="150"/>
      <c r="F121" s="40"/>
      <c r="G121" s="40"/>
      <c r="H121" s="40"/>
      <c r="I121" s="19">
        <v>0</v>
      </c>
      <c r="J121" s="19">
        <f t="shared" ref="J121:U121" ca="1" si="225">IF(J69&gt;$C$121,0,OFFSET($I$105,0,MAX((ROUND(($C$121-J69)/30+1,0)),0)))</f>
        <v>351225</v>
      </c>
      <c r="K121" s="19">
        <f t="shared" ca="1" si="225"/>
        <v>351225</v>
      </c>
      <c r="L121" s="19">
        <f t="shared" ca="1" si="225"/>
        <v>0</v>
      </c>
      <c r="M121" s="19">
        <f t="shared" ca="1" si="225"/>
        <v>0</v>
      </c>
      <c r="N121" s="19">
        <f t="shared" ca="1" si="225"/>
        <v>0</v>
      </c>
      <c r="O121" s="19">
        <f t="shared" ca="1" si="225"/>
        <v>0</v>
      </c>
      <c r="P121" s="19">
        <f t="shared" ca="1" si="225"/>
        <v>0</v>
      </c>
      <c r="Q121" s="19">
        <f t="shared" ca="1" si="225"/>
        <v>0</v>
      </c>
      <c r="R121" s="19">
        <f t="shared" ca="1" si="225"/>
        <v>0</v>
      </c>
      <c r="S121" s="19">
        <f t="shared" ca="1" si="225"/>
        <v>0</v>
      </c>
      <c r="T121" s="19">
        <f t="shared" ca="1" si="225"/>
        <v>0</v>
      </c>
      <c r="U121" s="19">
        <f t="shared" ca="1" si="225"/>
        <v>0</v>
      </c>
      <c r="V121" s="19"/>
      <c r="W121" s="19"/>
      <c r="X121" s="21"/>
      <c r="Z121" s="174">
        <v>44013</v>
      </c>
      <c r="AA121" s="40"/>
      <c r="AB121" s="150"/>
      <c r="AC121" s="40"/>
      <c r="AD121" s="40"/>
      <c r="AE121" s="40"/>
      <c r="AF121" s="19">
        <v>0</v>
      </c>
      <c r="AG121" s="19">
        <f t="shared" ref="AG121:AR121" ca="1" si="226">IF(AG69&gt;$Z$121,0,OFFSET($AF$105,0,MAX((ROUND(($Z$121-AG69)/30+1,0)),0)))</f>
        <v>351225</v>
      </c>
      <c r="AH121" s="19">
        <f t="shared" ca="1" si="226"/>
        <v>351225</v>
      </c>
      <c r="AI121" s="19">
        <f t="shared" ca="1" si="226"/>
        <v>0</v>
      </c>
      <c r="AJ121" s="19">
        <f t="shared" ca="1" si="226"/>
        <v>0</v>
      </c>
      <c r="AK121" s="19">
        <f t="shared" ca="1" si="226"/>
        <v>0</v>
      </c>
      <c r="AL121" s="19">
        <f t="shared" ca="1" si="226"/>
        <v>0</v>
      </c>
      <c r="AM121" s="19">
        <f t="shared" ca="1" si="226"/>
        <v>0</v>
      </c>
      <c r="AN121" s="19">
        <f t="shared" ca="1" si="226"/>
        <v>0</v>
      </c>
      <c r="AO121" s="19">
        <f t="shared" ca="1" si="226"/>
        <v>0</v>
      </c>
      <c r="AP121" s="19">
        <f t="shared" ca="1" si="226"/>
        <v>0</v>
      </c>
      <c r="AQ121" s="19">
        <f t="shared" ca="1" si="226"/>
        <v>0</v>
      </c>
      <c r="AR121" s="19">
        <f t="shared" ca="1" si="226"/>
        <v>0</v>
      </c>
      <c r="AS121" s="19"/>
      <c r="AT121" s="19"/>
      <c r="AU121" s="21"/>
    </row>
    <row r="122" spans="3:47" ht="15.75" x14ac:dyDescent="0.25">
      <c r="C122" s="174">
        <v>44044</v>
      </c>
      <c r="D122" s="40"/>
      <c r="E122" s="150"/>
      <c r="F122" s="40"/>
      <c r="G122" s="40"/>
      <c r="H122" s="40"/>
      <c r="I122" s="19">
        <v>0</v>
      </c>
      <c r="J122" s="19">
        <f t="shared" ref="J122:U122" ca="1" si="227">IF(J69&gt;$C$122,0,OFFSET($I$106,0,MAX((ROUND(($C$122-J69)/30+1,0)),0)))</f>
        <v>351225</v>
      </c>
      <c r="K122" s="19">
        <f t="shared" ca="1" si="227"/>
        <v>351225</v>
      </c>
      <c r="L122" s="19">
        <f t="shared" ca="1" si="227"/>
        <v>0</v>
      </c>
      <c r="M122" s="19">
        <f t="shared" ca="1" si="227"/>
        <v>0</v>
      </c>
      <c r="N122" s="19">
        <f t="shared" ca="1" si="227"/>
        <v>0</v>
      </c>
      <c r="O122" s="19">
        <f t="shared" ca="1" si="227"/>
        <v>0</v>
      </c>
      <c r="P122" s="19">
        <f t="shared" ca="1" si="227"/>
        <v>0</v>
      </c>
      <c r="Q122" s="19">
        <f t="shared" ca="1" si="227"/>
        <v>0</v>
      </c>
      <c r="R122" s="19">
        <f t="shared" ca="1" si="227"/>
        <v>0</v>
      </c>
      <c r="S122" s="19">
        <f t="shared" ca="1" si="227"/>
        <v>0</v>
      </c>
      <c r="T122" s="19">
        <f t="shared" ca="1" si="227"/>
        <v>0</v>
      </c>
      <c r="U122" s="19">
        <f t="shared" ca="1" si="227"/>
        <v>0</v>
      </c>
      <c r="V122" s="19"/>
      <c r="W122" s="19"/>
      <c r="X122" s="21"/>
      <c r="Z122" s="174">
        <v>44044</v>
      </c>
      <c r="AA122" s="40"/>
      <c r="AB122" s="150"/>
      <c r="AC122" s="40"/>
      <c r="AD122" s="40"/>
      <c r="AE122" s="40"/>
      <c r="AF122" s="19">
        <v>0</v>
      </c>
      <c r="AG122" s="19">
        <f t="shared" ref="AG122:AR122" ca="1" si="228">IF(AG69&gt;$Z$122,0,OFFSET($AF$106,0,MAX((ROUND(($Z$122-AG69)/30+1,0)),0)))</f>
        <v>351225</v>
      </c>
      <c r="AH122" s="19">
        <f t="shared" ca="1" si="228"/>
        <v>351225</v>
      </c>
      <c r="AI122" s="19">
        <f t="shared" ca="1" si="228"/>
        <v>0</v>
      </c>
      <c r="AJ122" s="19">
        <f t="shared" ca="1" si="228"/>
        <v>0</v>
      </c>
      <c r="AK122" s="19">
        <f t="shared" ca="1" si="228"/>
        <v>0</v>
      </c>
      <c r="AL122" s="19">
        <f t="shared" ca="1" si="228"/>
        <v>0</v>
      </c>
      <c r="AM122" s="19">
        <f t="shared" ca="1" si="228"/>
        <v>0</v>
      </c>
      <c r="AN122" s="19">
        <f t="shared" ca="1" si="228"/>
        <v>0</v>
      </c>
      <c r="AO122" s="19">
        <f t="shared" ca="1" si="228"/>
        <v>0</v>
      </c>
      <c r="AP122" s="19">
        <f t="shared" ca="1" si="228"/>
        <v>0</v>
      </c>
      <c r="AQ122" s="19">
        <f t="shared" ca="1" si="228"/>
        <v>0</v>
      </c>
      <c r="AR122" s="19">
        <f t="shared" ca="1" si="228"/>
        <v>0</v>
      </c>
      <c r="AS122" s="19"/>
      <c r="AT122" s="19"/>
      <c r="AU122" s="21"/>
    </row>
    <row r="123" spans="3:47" ht="15.75" x14ac:dyDescent="0.25">
      <c r="C123" s="174">
        <v>44075</v>
      </c>
      <c r="D123" s="40"/>
      <c r="E123" s="150"/>
      <c r="F123" s="40"/>
      <c r="G123" s="40"/>
      <c r="H123" s="40"/>
      <c r="I123" s="19">
        <v>0</v>
      </c>
      <c r="J123" s="19">
        <f t="shared" ref="J123:U123" ca="1" si="229">IF(J69&gt;$C$123,0,OFFSET($I$107,0,MAX((ROUND(($C$123-J69)/30+1,0)),0)))</f>
        <v>351225</v>
      </c>
      <c r="K123" s="19">
        <f t="shared" ca="1" si="229"/>
        <v>351225</v>
      </c>
      <c r="L123" s="19">
        <f t="shared" ca="1" si="229"/>
        <v>0</v>
      </c>
      <c r="M123" s="19">
        <f t="shared" ca="1" si="229"/>
        <v>0</v>
      </c>
      <c r="N123" s="19">
        <f t="shared" ca="1" si="229"/>
        <v>0</v>
      </c>
      <c r="O123" s="19">
        <f t="shared" ca="1" si="229"/>
        <v>0</v>
      </c>
      <c r="P123" s="19">
        <f t="shared" ca="1" si="229"/>
        <v>0</v>
      </c>
      <c r="Q123" s="19">
        <f t="shared" ca="1" si="229"/>
        <v>0</v>
      </c>
      <c r="R123" s="19">
        <f t="shared" ca="1" si="229"/>
        <v>0</v>
      </c>
      <c r="S123" s="19">
        <f t="shared" ca="1" si="229"/>
        <v>0</v>
      </c>
      <c r="T123" s="19">
        <f t="shared" ca="1" si="229"/>
        <v>0</v>
      </c>
      <c r="U123" s="19">
        <f t="shared" ca="1" si="229"/>
        <v>0</v>
      </c>
      <c r="V123" s="19"/>
      <c r="W123" s="19"/>
      <c r="X123" s="21"/>
      <c r="Z123" s="174">
        <v>44075</v>
      </c>
      <c r="AA123" s="40"/>
      <c r="AB123" s="150"/>
      <c r="AC123" s="40"/>
      <c r="AD123" s="40"/>
      <c r="AE123" s="40"/>
      <c r="AF123" s="19">
        <v>0</v>
      </c>
      <c r="AG123" s="19">
        <f t="shared" ref="AG123:AR123" ca="1" si="230">IF(AG69&gt;$Z$123,0,OFFSET($AF$107,0,MAX((ROUND(($Z$123-AG69)/30+1,0)),0)))</f>
        <v>351225</v>
      </c>
      <c r="AH123" s="19">
        <f t="shared" ca="1" si="230"/>
        <v>351225</v>
      </c>
      <c r="AI123" s="19">
        <f t="shared" ca="1" si="230"/>
        <v>0</v>
      </c>
      <c r="AJ123" s="19">
        <f t="shared" ca="1" si="230"/>
        <v>0</v>
      </c>
      <c r="AK123" s="19">
        <f t="shared" ca="1" si="230"/>
        <v>0</v>
      </c>
      <c r="AL123" s="19">
        <f t="shared" ca="1" si="230"/>
        <v>0</v>
      </c>
      <c r="AM123" s="19">
        <f t="shared" ca="1" si="230"/>
        <v>0</v>
      </c>
      <c r="AN123" s="19">
        <f t="shared" ca="1" si="230"/>
        <v>0</v>
      </c>
      <c r="AO123" s="19">
        <f t="shared" ca="1" si="230"/>
        <v>0</v>
      </c>
      <c r="AP123" s="19">
        <f t="shared" ca="1" si="230"/>
        <v>0</v>
      </c>
      <c r="AQ123" s="19">
        <f t="shared" ca="1" si="230"/>
        <v>0</v>
      </c>
      <c r="AR123" s="19">
        <f t="shared" ca="1" si="230"/>
        <v>0</v>
      </c>
      <c r="AS123" s="19"/>
      <c r="AT123" s="19"/>
      <c r="AU123" s="21"/>
    </row>
    <row r="124" spans="3:47" ht="15.75" x14ac:dyDescent="0.25">
      <c r="C124" s="174">
        <v>44105</v>
      </c>
      <c r="D124" s="40"/>
      <c r="E124" s="150"/>
      <c r="F124" s="40"/>
      <c r="G124" s="40"/>
      <c r="H124" s="40"/>
      <c r="I124" s="19">
        <v>0</v>
      </c>
      <c r="J124" s="19">
        <f t="shared" ref="J124:U124" ca="1" si="231">IF(J69&gt;$C$124,0,OFFSET($I$108,0,MAX((ROUND(($C$124-J69)/30+1,0)),0)))</f>
        <v>351225</v>
      </c>
      <c r="K124" s="19">
        <f t="shared" ca="1" si="231"/>
        <v>351225</v>
      </c>
      <c r="L124" s="19">
        <f t="shared" ca="1" si="231"/>
        <v>0</v>
      </c>
      <c r="M124" s="19">
        <f t="shared" ca="1" si="231"/>
        <v>0</v>
      </c>
      <c r="N124" s="19">
        <f t="shared" ca="1" si="231"/>
        <v>0</v>
      </c>
      <c r="O124" s="19">
        <f t="shared" ca="1" si="231"/>
        <v>0</v>
      </c>
      <c r="P124" s="19">
        <f t="shared" ca="1" si="231"/>
        <v>0</v>
      </c>
      <c r="Q124" s="19">
        <f t="shared" ca="1" si="231"/>
        <v>0</v>
      </c>
      <c r="R124" s="19">
        <f t="shared" ca="1" si="231"/>
        <v>0</v>
      </c>
      <c r="S124" s="19">
        <f t="shared" ca="1" si="231"/>
        <v>0</v>
      </c>
      <c r="T124" s="19">
        <f t="shared" ca="1" si="231"/>
        <v>0</v>
      </c>
      <c r="U124" s="19">
        <f t="shared" ca="1" si="231"/>
        <v>0</v>
      </c>
      <c r="V124" s="19"/>
      <c r="W124" s="19"/>
      <c r="X124" s="21"/>
      <c r="Z124" s="174">
        <v>44105</v>
      </c>
      <c r="AA124" s="40"/>
      <c r="AB124" s="150"/>
      <c r="AC124" s="40"/>
      <c r="AD124" s="40"/>
      <c r="AE124" s="40"/>
      <c r="AF124" s="19">
        <v>0</v>
      </c>
      <c r="AG124" s="19">
        <f t="shared" ref="AG124:AR124" ca="1" si="232">IF(AG69&gt;$Z$124,0,OFFSET($AF$108,0,MAX((ROUND(($Z$124-AG69)/30+1,0)),0)))</f>
        <v>351225</v>
      </c>
      <c r="AH124" s="19">
        <f t="shared" ca="1" si="232"/>
        <v>351225</v>
      </c>
      <c r="AI124" s="19">
        <f t="shared" ca="1" si="232"/>
        <v>0</v>
      </c>
      <c r="AJ124" s="19">
        <f t="shared" ca="1" si="232"/>
        <v>0</v>
      </c>
      <c r="AK124" s="19">
        <f t="shared" ca="1" si="232"/>
        <v>0</v>
      </c>
      <c r="AL124" s="19">
        <f t="shared" ca="1" si="232"/>
        <v>0</v>
      </c>
      <c r="AM124" s="19">
        <f t="shared" ca="1" si="232"/>
        <v>0</v>
      </c>
      <c r="AN124" s="19">
        <f t="shared" ca="1" si="232"/>
        <v>0</v>
      </c>
      <c r="AO124" s="19">
        <f t="shared" ca="1" si="232"/>
        <v>0</v>
      </c>
      <c r="AP124" s="19">
        <f t="shared" ca="1" si="232"/>
        <v>0</v>
      </c>
      <c r="AQ124" s="19">
        <f t="shared" ca="1" si="232"/>
        <v>0</v>
      </c>
      <c r="AR124" s="19">
        <f t="shared" ca="1" si="232"/>
        <v>0</v>
      </c>
      <c r="AS124" s="19"/>
      <c r="AT124" s="19"/>
      <c r="AU124" s="21"/>
    </row>
    <row r="125" spans="3:47" ht="15.75" x14ac:dyDescent="0.25">
      <c r="C125" s="174">
        <v>44136</v>
      </c>
      <c r="D125" s="40"/>
      <c r="E125" s="150"/>
      <c r="F125" s="40"/>
      <c r="G125" s="40"/>
      <c r="H125" s="40"/>
      <c r="I125" s="19">
        <v>0</v>
      </c>
      <c r="J125" s="19">
        <f t="shared" ref="J125:U125" ca="1" si="233">IF(J69&gt;$C$125,0,OFFSET($I$109,0,MAX((ROUND(($C$125-J69)/30+1,0)),0)))</f>
        <v>351225</v>
      </c>
      <c r="K125" s="19">
        <f t="shared" ca="1" si="233"/>
        <v>351225</v>
      </c>
      <c r="L125" s="19">
        <f t="shared" ca="1" si="233"/>
        <v>0</v>
      </c>
      <c r="M125" s="19">
        <f t="shared" ca="1" si="233"/>
        <v>0</v>
      </c>
      <c r="N125" s="19">
        <f t="shared" ca="1" si="233"/>
        <v>0</v>
      </c>
      <c r="O125" s="19">
        <f t="shared" ca="1" si="233"/>
        <v>0</v>
      </c>
      <c r="P125" s="19">
        <f t="shared" ca="1" si="233"/>
        <v>0</v>
      </c>
      <c r="Q125" s="19">
        <f t="shared" ca="1" si="233"/>
        <v>0</v>
      </c>
      <c r="R125" s="19">
        <f t="shared" ca="1" si="233"/>
        <v>0</v>
      </c>
      <c r="S125" s="19">
        <f t="shared" ca="1" si="233"/>
        <v>0</v>
      </c>
      <c r="T125" s="19">
        <f t="shared" ca="1" si="233"/>
        <v>0</v>
      </c>
      <c r="U125" s="19">
        <f t="shared" ca="1" si="233"/>
        <v>0</v>
      </c>
      <c r="V125" s="19"/>
      <c r="W125" s="19"/>
      <c r="X125" s="21"/>
      <c r="Z125" s="174">
        <v>44136</v>
      </c>
      <c r="AA125" s="40"/>
      <c r="AB125" s="150"/>
      <c r="AC125" s="40"/>
      <c r="AD125" s="40"/>
      <c r="AE125" s="40"/>
      <c r="AF125" s="19">
        <v>0</v>
      </c>
      <c r="AG125" s="19">
        <f t="shared" ref="AG125:AR125" ca="1" si="234">IF(AG69&gt;$Z$125,0,OFFSET($AF$109,0,MAX((ROUND(($Z$125-AG69)/30+1,0)),0)))</f>
        <v>351225</v>
      </c>
      <c r="AH125" s="19">
        <f t="shared" ca="1" si="234"/>
        <v>351225</v>
      </c>
      <c r="AI125" s="19">
        <f t="shared" ca="1" si="234"/>
        <v>0</v>
      </c>
      <c r="AJ125" s="19">
        <f t="shared" ca="1" si="234"/>
        <v>0</v>
      </c>
      <c r="AK125" s="19">
        <f t="shared" ca="1" si="234"/>
        <v>0</v>
      </c>
      <c r="AL125" s="19">
        <f t="shared" ca="1" si="234"/>
        <v>0</v>
      </c>
      <c r="AM125" s="19">
        <f t="shared" ca="1" si="234"/>
        <v>0</v>
      </c>
      <c r="AN125" s="19">
        <f t="shared" ca="1" si="234"/>
        <v>0</v>
      </c>
      <c r="AO125" s="19">
        <f t="shared" ca="1" si="234"/>
        <v>0</v>
      </c>
      <c r="AP125" s="19">
        <f t="shared" ca="1" si="234"/>
        <v>0</v>
      </c>
      <c r="AQ125" s="19">
        <f t="shared" ca="1" si="234"/>
        <v>0</v>
      </c>
      <c r="AR125" s="19">
        <f t="shared" ca="1" si="234"/>
        <v>0</v>
      </c>
      <c r="AS125" s="19"/>
      <c r="AT125" s="19"/>
      <c r="AU125" s="21"/>
    </row>
    <row r="126" spans="3:47" ht="15.75" x14ac:dyDescent="0.25">
      <c r="C126" s="174">
        <v>44166</v>
      </c>
      <c r="D126" s="40"/>
      <c r="E126" s="150"/>
      <c r="F126" s="40"/>
      <c r="G126" s="40"/>
      <c r="H126" s="40"/>
      <c r="I126" s="19">
        <v>0</v>
      </c>
      <c r="J126" s="19">
        <f t="shared" ref="J126:U126" ca="1" si="235">IF(J69&gt;$C$126,0,OFFSET($I$110,0,MAX((ROUND(($C$126-J69)/30+1,0)),0)))</f>
        <v>421470</v>
      </c>
      <c r="K126" s="19">
        <f t="shared" ca="1" si="235"/>
        <v>351225</v>
      </c>
      <c r="L126" s="19">
        <f t="shared" ca="1" si="235"/>
        <v>0</v>
      </c>
      <c r="M126" s="19">
        <f t="shared" ca="1" si="235"/>
        <v>0</v>
      </c>
      <c r="N126" s="19">
        <f t="shared" ca="1" si="235"/>
        <v>0</v>
      </c>
      <c r="O126" s="19">
        <f t="shared" ca="1" si="235"/>
        <v>0</v>
      </c>
      <c r="P126" s="19">
        <f t="shared" ca="1" si="235"/>
        <v>0</v>
      </c>
      <c r="Q126" s="19">
        <f t="shared" ca="1" si="235"/>
        <v>0</v>
      </c>
      <c r="R126" s="19">
        <f t="shared" ca="1" si="235"/>
        <v>0</v>
      </c>
      <c r="S126" s="19">
        <f t="shared" ca="1" si="235"/>
        <v>0</v>
      </c>
      <c r="T126" s="19">
        <f t="shared" ca="1" si="235"/>
        <v>0</v>
      </c>
      <c r="U126" s="19">
        <f t="shared" ca="1" si="235"/>
        <v>0</v>
      </c>
      <c r="V126" s="19"/>
      <c r="W126" s="19"/>
      <c r="X126" s="21"/>
      <c r="Z126" s="174">
        <v>44166</v>
      </c>
      <c r="AA126" s="40"/>
      <c r="AB126" s="150"/>
      <c r="AC126" s="40"/>
      <c r="AD126" s="40"/>
      <c r="AE126" s="40"/>
      <c r="AF126" s="19">
        <v>0</v>
      </c>
      <c r="AG126" s="19">
        <f t="shared" ref="AG126:AR126" ca="1" si="236">IF(AG69&gt;$Z$126,0,OFFSET($AF$110,0,MAX((ROUND(($Z$126-AG69)/30+1,0)),0)))</f>
        <v>421470</v>
      </c>
      <c r="AH126" s="19">
        <f t="shared" ca="1" si="236"/>
        <v>351225</v>
      </c>
      <c r="AI126" s="19">
        <f t="shared" ca="1" si="236"/>
        <v>0</v>
      </c>
      <c r="AJ126" s="19">
        <f t="shared" ca="1" si="236"/>
        <v>0</v>
      </c>
      <c r="AK126" s="19">
        <f t="shared" ca="1" si="236"/>
        <v>0</v>
      </c>
      <c r="AL126" s="19">
        <f t="shared" ca="1" si="236"/>
        <v>0</v>
      </c>
      <c r="AM126" s="19">
        <f t="shared" ca="1" si="236"/>
        <v>0</v>
      </c>
      <c r="AN126" s="19">
        <f t="shared" ca="1" si="236"/>
        <v>0</v>
      </c>
      <c r="AO126" s="19">
        <f t="shared" ca="1" si="236"/>
        <v>0</v>
      </c>
      <c r="AP126" s="19">
        <f t="shared" ca="1" si="236"/>
        <v>0</v>
      </c>
      <c r="AQ126" s="19">
        <f t="shared" ca="1" si="236"/>
        <v>0</v>
      </c>
      <c r="AR126" s="19">
        <f t="shared" ca="1" si="236"/>
        <v>0</v>
      </c>
      <c r="AS126" s="19"/>
      <c r="AT126" s="19"/>
      <c r="AU126" s="21"/>
    </row>
    <row r="127" spans="3:47" ht="15.75" x14ac:dyDescent="0.25">
      <c r="C127" s="174">
        <v>44197</v>
      </c>
      <c r="D127" s="40"/>
      <c r="E127" s="150"/>
      <c r="F127" s="40"/>
      <c r="G127" s="40"/>
      <c r="H127" s="40"/>
      <c r="I127" s="19">
        <v>0</v>
      </c>
      <c r="J127" s="19">
        <f t="shared" ref="J127:U127" ca="1" si="237">IF(J69&gt;$C$127,0,OFFSET($I$111,0,MAX((ROUND(($C$127-J69)/30+1,0)),0)))</f>
        <v>491715</v>
      </c>
      <c r="K127" s="19">
        <f t="shared" ca="1" si="237"/>
        <v>421470</v>
      </c>
      <c r="L127" s="19">
        <f t="shared" ca="1" si="237"/>
        <v>0</v>
      </c>
      <c r="M127" s="19">
        <f t="shared" ca="1" si="237"/>
        <v>0</v>
      </c>
      <c r="N127" s="19">
        <f t="shared" ca="1" si="237"/>
        <v>0</v>
      </c>
      <c r="O127" s="19">
        <f t="shared" ca="1" si="237"/>
        <v>0</v>
      </c>
      <c r="P127" s="19">
        <f t="shared" ca="1" si="237"/>
        <v>0</v>
      </c>
      <c r="Q127" s="19">
        <f t="shared" ca="1" si="237"/>
        <v>0</v>
      </c>
      <c r="R127" s="19">
        <f t="shared" ca="1" si="237"/>
        <v>0</v>
      </c>
      <c r="S127" s="19">
        <f t="shared" ca="1" si="237"/>
        <v>0</v>
      </c>
      <c r="T127" s="19">
        <f t="shared" ca="1" si="237"/>
        <v>0</v>
      </c>
      <c r="U127" s="19">
        <f t="shared" ca="1" si="237"/>
        <v>0</v>
      </c>
      <c r="V127" s="19"/>
      <c r="W127" s="19"/>
      <c r="X127" s="21"/>
      <c r="Z127" s="174">
        <v>44197</v>
      </c>
      <c r="AA127" s="40"/>
      <c r="AB127" s="150"/>
      <c r="AC127" s="40"/>
      <c r="AD127" s="40"/>
      <c r="AE127" s="40"/>
      <c r="AF127" s="19">
        <v>0</v>
      </c>
      <c r="AG127" s="19">
        <f t="shared" ref="AG127:AR127" ca="1" si="238">IF(AG69&gt;$Z$127,0,OFFSET($AF$111,0,MAX((ROUND(($Z$127-AG69)/30+1,0)),0)))</f>
        <v>491715</v>
      </c>
      <c r="AH127" s="19">
        <f t="shared" ca="1" si="238"/>
        <v>421470</v>
      </c>
      <c r="AI127" s="19">
        <f t="shared" ca="1" si="238"/>
        <v>0</v>
      </c>
      <c r="AJ127" s="19">
        <f t="shared" ca="1" si="238"/>
        <v>0</v>
      </c>
      <c r="AK127" s="19">
        <f t="shared" ca="1" si="238"/>
        <v>0</v>
      </c>
      <c r="AL127" s="19">
        <f t="shared" ca="1" si="238"/>
        <v>0</v>
      </c>
      <c r="AM127" s="19">
        <f t="shared" ca="1" si="238"/>
        <v>0</v>
      </c>
      <c r="AN127" s="19">
        <f t="shared" ca="1" si="238"/>
        <v>0</v>
      </c>
      <c r="AO127" s="19">
        <f t="shared" ca="1" si="238"/>
        <v>0</v>
      </c>
      <c r="AP127" s="19">
        <f t="shared" ca="1" si="238"/>
        <v>0</v>
      </c>
      <c r="AQ127" s="19">
        <f t="shared" ca="1" si="238"/>
        <v>0</v>
      </c>
      <c r="AR127" s="19">
        <f t="shared" ca="1" si="238"/>
        <v>0</v>
      </c>
      <c r="AS127" s="19"/>
      <c r="AT127" s="19"/>
      <c r="AU127" s="21"/>
    </row>
    <row r="128" spans="3:47" ht="15.75" x14ac:dyDescent="0.25">
      <c r="C128" s="174">
        <v>44228</v>
      </c>
      <c r="D128" s="40"/>
      <c r="E128" s="150"/>
      <c r="F128" s="40"/>
      <c r="G128" s="40"/>
      <c r="H128" s="40"/>
      <c r="I128" s="19">
        <v>0</v>
      </c>
      <c r="J128" s="19">
        <f t="shared" ref="J128:U128" ca="1" si="239">IF(J69&gt;$C$128,0,OFFSET($I$112,0,MAX((ROUND(($C$128-J69)/30+1,0)),0)))</f>
        <v>280980</v>
      </c>
      <c r="K128" s="19">
        <f t="shared" ca="1" si="239"/>
        <v>491715</v>
      </c>
      <c r="L128" s="19">
        <f t="shared" ca="1" si="239"/>
        <v>0</v>
      </c>
      <c r="M128" s="19">
        <f t="shared" ca="1" si="239"/>
        <v>0</v>
      </c>
      <c r="N128" s="19">
        <f t="shared" ca="1" si="239"/>
        <v>0</v>
      </c>
      <c r="O128" s="19">
        <f t="shared" ca="1" si="239"/>
        <v>0</v>
      </c>
      <c r="P128" s="19">
        <f t="shared" ca="1" si="239"/>
        <v>0</v>
      </c>
      <c r="Q128" s="19">
        <f t="shared" ca="1" si="239"/>
        <v>0</v>
      </c>
      <c r="R128" s="19">
        <f t="shared" ca="1" si="239"/>
        <v>0</v>
      </c>
      <c r="S128" s="19">
        <f t="shared" ca="1" si="239"/>
        <v>0</v>
      </c>
      <c r="T128" s="19">
        <f t="shared" ca="1" si="239"/>
        <v>0</v>
      </c>
      <c r="U128" s="19">
        <f t="shared" ca="1" si="239"/>
        <v>0</v>
      </c>
      <c r="V128" s="19"/>
      <c r="W128" s="19"/>
      <c r="X128" s="21"/>
      <c r="Z128" s="174">
        <v>44228</v>
      </c>
      <c r="AA128" s="40"/>
      <c r="AB128" s="150"/>
      <c r="AC128" s="40"/>
      <c r="AD128" s="40"/>
      <c r="AE128" s="40"/>
      <c r="AF128" s="19">
        <v>0</v>
      </c>
      <c r="AG128" s="19">
        <f t="shared" ref="AG128:AR128" ca="1" si="240">IF(AG69&gt;$Z$128,0,OFFSET($AF$112,0,MAX((ROUND(($Z$128-AG69)/30+1,0)),0)))</f>
        <v>280980</v>
      </c>
      <c r="AH128" s="19">
        <f t="shared" ca="1" si="240"/>
        <v>491715</v>
      </c>
      <c r="AI128" s="19">
        <f t="shared" ca="1" si="240"/>
        <v>0</v>
      </c>
      <c r="AJ128" s="19">
        <f t="shared" ca="1" si="240"/>
        <v>0</v>
      </c>
      <c r="AK128" s="19">
        <f t="shared" ca="1" si="240"/>
        <v>0</v>
      </c>
      <c r="AL128" s="19">
        <f t="shared" ca="1" si="240"/>
        <v>0</v>
      </c>
      <c r="AM128" s="19">
        <f t="shared" ca="1" si="240"/>
        <v>0</v>
      </c>
      <c r="AN128" s="19">
        <f t="shared" ca="1" si="240"/>
        <v>0</v>
      </c>
      <c r="AO128" s="19">
        <f t="shared" ca="1" si="240"/>
        <v>0</v>
      </c>
      <c r="AP128" s="19">
        <f t="shared" ca="1" si="240"/>
        <v>0</v>
      </c>
      <c r="AQ128" s="19">
        <f t="shared" ca="1" si="240"/>
        <v>0</v>
      </c>
      <c r="AR128" s="19">
        <f t="shared" ca="1" si="240"/>
        <v>0</v>
      </c>
      <c r="AS128" s="19"/>
      <c r="AT128" s="19"/>
      <c r="AU128" s="21"/>
    </row>
    <row r="129" spans="3:47" ht="15.75" x14ac:dyDescent="0.25">
      <c r="C129" s="174">
        <v>44256</v>
      </c>
      <c r="D129" s="40"/>
      <c r="E129" s="150"/>
      <c r="F129" s="40"/>
      <c r="G129" s="40"/>
      <c r="H129" s="40"/>
      <c r="I129" s="19">
        <v>0</v>
      </c>
      <c r="J129" s="19">
        <f t="shared" ref="J129:U129" ca="1" si="241">IF(J69&gt;$C$129,0,OFFSET($I$113,0,MAX((ROUND(($C$129-J69)/30+1,0)),0)))</f>
        <v>491715</v>
      </c>
      <c r="K129" s="19">
        <f t="shared" ca="1" si="241"/>
        <v>280980</v>
      </c>
      <c r="L129" s="19">
        <f t="shared" ca="1" si="241"/>
        <v>0</v>
      </c>
      <c r="M129" s="19">
        <f t="shared" ca="1" si="241"/>
        <v>0</v>
      </c>
      <c r="N129" s="19">
        <f t="shared" ca="1" si="241"/>
        <v>0</v>
      </c>
      <c r="O129" s="19">
        <f t="shared" ca="1" si="241"/>
        <v>0</v>
      </c>
      <c r="P129" s="19">
        <f t="shared" ca="1" si="241"/>
        <v>0</v>
      </c>
      <c r="Q129" s="19">
        <f t="shared" ca="1" si="241"/>
        <v>0</v>
      </c>
      <c r="R129" s="19">
        <f t="shared" ca="1" si="241"/>
        <v>0</v>
      </c>
      <c r="S129" s="19">
        <f t="shared" ca="1" si="241"/>
        <v>0</v>
      </c>
      <c r="T129" s="19">
        <f t="shared" ca="1" si="241"/>
        <v>0</v>
      </c>
      <c r="U129" s="19">
        <f t="shared" ca="1" si="241"/>
        <v>0</v>
      </c>
      <c r="V129" s="19"/>
      <c r="W129" s="19"/>
      <c r="X129" s="21"/>
      <c r="Z129" s="174">
        <v>44256</v>
      </c>
      <c r="AA129" s="40"/>
      <c r="AB129" s="150"/>
      <c r="AC129" s="40"/>
      <c r="AD129" s="40"/>
      <c r="AE129" s="40"/>
      <c r="AF129" s="19">
        <v>0</v>
      </c>
      <c r="AG129" s="19">
        <f t="shared" ref="AG129:AR129" ca="1" si="242">IF(AG69&gt;$Z$129,0,OFFSET($AF$113,0,MAX((ROUND(($Z$129-AG69)/30+1,0)),0)))</f>
        <v>491715</v>
      </c>
      <c r="AH129" s="19">
        <f t="shared" ca="1" si="242"/>
        <v>280980</v>
      </c>
      <c r="AI129" s="19">
        <f t="shared" ca="1" si="242"/>
        <v>0</v>
      </c>
      <c r="AJ129" s="19">
        <f t="shared" ca="1" si="242"/>
        <v>0</v>
      </c>
      <c r="AK129" s="19">
        <f t="shared" ca="1" si="242"/>
        <v>0</v>
      </c>
      <c r="AL129" s="19">
        <f t="shared" ca="1" si="242"/>
        <v>0</v>
      </c>
      <c r="AM129" s="19">
        <f t="shared" ca="1" si="242"/>
        <v>0</v>
      </c>
      <c r="AN129" s="19">
        <f t="shared" ca="1" si="242"/>
        <v>0</v>
      </c>
      <c r="AO129" s="19">
        <f t="shared" ca="1" si="242"/>
        <v>0</v>
      </c>
      <c r="AP129" s="19">
        <f t="shared" ca="1" si="242"/>
        <v>0</v>
      </c>
      <c r="AQ129" s="19">
        <f t="shared" ca="1" si="242"/>
        <v>0</v>
      </c>
      <c r="AR129" s="19">
        <f t="shared" ca="1" si="242"/>
        <v>0</v>
      </c>
      <c r="AS129" s="19"/>
      <c r="AT129" s="19"/>
      <c r="AU129" s="21"/>
    </row>
    <row r="130" spans="3:47" ht="15.75" x14ac:dyDescent="0.25">
      <c r="C130" s="174">
        <v>44287</v>
      </c>
      <c r="D130" s="40"/>
      <c r="E130" s="150"/>
      <c r="F130" s="40"/>
      <c r="G130" s="40"/>
      <c r="H130" s="40"/>
      <c r="I130" s="19">
        <v>0</v>
      </c>
      <c r="J130" s="19">
        <f t="shared" ref="J130:U130" ca="1" si="243">IF(J69&gt;$C$130,0,OFFSET($I$114,0,MAX((ROUND(($C$130-J69)/30+1,0)),0)))</f>
        <v>561960</v>
      </c>
      <c r="K130" s="19">
        <f t="shared" ca="1" si="243"/>
        <v>491715</v>
      </c>
      <c r="L130" s="19">
        <f t="shared" ca="1" si="243"/>
        <v>0</v>
      </c>
      <c r="M130" s="19">
        <f t="shared" ca="1" si="243"/>
        <v>0</v>
      </c>
      <c r="N130" s="19">
        <f t="shared" ca="1" si="243"/>
        <v>0</v>
      </c>
      <c r="O130" s="19">
        <f t="shared" ca="1" si="243"/>
        <v>0</v>
      </c>
      <c r="P130" s="19">
        <f t="shared" ca="1" si="243"/>
        <v>0</v>
      </c>
      <c r="Q130" s="19">
        <f t="shared" ca="1" si="243"/>
        <v>0</v>
      </c>
      <c r="R130" s="19">
        <f t="shared" ca="1" si="243"/>
        <v>0</v>
      </c>
      <c r="S130" s="19">
        <f t="shared" ca="1" si="243"/>
        <v>0</v>
      </c>
      <c r="T130" s="19">
        <f t="shared" ca="1" si="243"/>
        <v>0</v>
      </c>
      <c r="U130" s="19">
        <f t="shared" ca="1" si="243"/>
        <v>0</v>
      </c>
      <c r="V130" s="19"/>
      <c r="W130" s="19"/>
      <c r="X130" s="21"/>
      <c r="Z130" s="174">
        <v>44287</v>
      </c>
      <c r="AA130" s="40"/>
      <c r="AB130" s="150"/>
      <c r="AC130" s="40"/>
      <c r="AD130" s="40"/>
      <c r="AE130" s="40"/>
      <c r="AF130" s="19">
        <v>0</v>
      </c>
      <c r="AG130" s="19">
        <f t="shared" ref="AG130:AR130" ca="1" si="244">IF(AG69&gt;$Z$130,0,OFFSET($AF$114,0,MAX((ROUND(($Z$130-AG69)/30+1,0)),0)))</f>
        <v>561960</v>
      </c>
      <c r="AH130" s="19">
        <f t="shared" ca="1" si="244"/>
        <v>491715</v>
      </c>
      <c r="AI130" s="19">
        <f t="shared" ca="1" si="244"/>
        <v>0</v>
      </c>
      <c r="AJ130" s="19">
        <f t="shared" ca="1" si="244"/>
        <v>0</v>
      </c>
      <c r="AK130" s="19">
        <f t="shared" ca="1" si="244"/>
        <v>0</v>
      </c>
      <c r="AL130" s="19">
        <f t="shared" ca="1" si="244"/>
        <v>0</v>
      </c>
      <c r="AM130" s="19">
        <f t="shared" ca="1" si="244"/>
        <v>0</v>
      </c>
      <c r="AN130" s="19">
        <f t="shared" ca="1" si="244"/>
        <v>0</v>
      </c>
      <c r="AO130" s="19">
        <f t="shared" ca="1" si="244"/>
        <v>0</v>
      </c>
      <c r="AP130" s="19">
        <f t="shared" ca="1" si="244"/>
        <v>0</v>
      </c>
      <c r="AQ130" s="19">
        <f t="shared" ca="1" si="244"/>
        <v>0</v>
      </c>
      <c r="AR130" s="19">
        <f t="shared" ca="1" si="244"/>
        <v>0</v>
      </c>
      <c r="AS130" s="19"/>
      <c r="AT130" s="19"/>
      <c r="AU130" s="21"/>
    </row>
    <row r="131" spans="3:47" ht="15.75" x14ac:dyDescent="0.25">
      <c r="C131" s="174">
        <v>44317</v>
      </c>
      <c r="D131" s="40"/>
      <c r="E131" s="150"/>
      <c r="F131" s="40"/>
      <c r="G131" s="40"/>
      <c r="H131" s="40"/>
      <c r="I131" s="19">
        <v>0</v>
      </c>
      <c r="J131" s="19">
        <f t="shared" ref="J131:U131" ca="1" si="245">IF(J69&gt;$C$131,0,OFFSET($I$115,0,MAX((ROUND(($C$131-J69)/30+1,0)),0)))</f>
        <v>632205</v>
      </c>
      <c r="K131" s="19">
        <f t="shared" ca="1" si="245"/>
        <v>561960</v>
      </c>
      <c r="L131" s="19">
        <f t="shared" ca="1" si="245"/>
        <v>0</v>
      </c>
      <c r="M131" s="19">
        <f t="shared" ca="1" si="245"/>
        <v>0</v>
      </c>
      <c r="N131" s="19">
        <f t="shared" ca="1" si="245"/>
        <v>0</v>
      </c>
      <c r="O131" s="19">
        <f t="shared" ca="1" si="245"/>
        <v>0</v>
      </c>
      <c r="P131" s="19">
        <f t="shared" ca="1" si="245"/>
        <v>0</v>
      </c>
      <c r="Q131" s="19">
        <f t="shared" ca="1" si="245"/>
        <v>0</v>
      </c>
      <c r="R131" s="19">
        <f t="shared" ca="1" si="245"/>
        <v>0</v>
      </c>
      <c r="S131" s="19">
        <f t="shared" ca="1" si="245"/>
        <v>0</v>
      </c>
      <c r="T131" s="19">
        <f t="shared" ca="1" si="245"/>
        <v>0</v>
      </c>
      <c r="U131" s="19">
        <f t="shared" ca="1" si="245"/>
        <v>0</v>
      </c>
      <c r="V131" s="19"/>
      <c r="W131" s="19"/>
      <c r="X131" s="21"/>
      <c r="Z131" s="174">
        <v>44317</v>
      </c>
      <c r="AA131" s="40"/>
      <c r="AB131" s="150"/>
      <c r="AC131" s="40"/>
      <c r="AD131" s="40"/>
      <c r="AE131" s="40"/>
      <c r="AF131" s="19">
        <v>0</v>
      </c>
      <c r="AG131" s="19">
        <f t="shared" ref="AG131:AR131" ca="1" si="246">IF(AG69&gt;$Z$131,0,OFFSET($AF$115,0,MAX((ROUND(($Z$131-AG69)/30+1,0)),0)))</f>
        <v>632205</v>
      </c>
      <c r="AH131" s="19">
        <f t="shared" ca="1" si="246"/>
        <v>561960</v>
      </c>
      <c r="AI131" s="19">
        <f t="shared" ca="1" si="246"/>
        <v>0</v>
      </c>
      <c r="AJ131" s="19">
        <f t="shared" ca="1" si="246"/>
        <v>0</v>
      </c>
      <c r="AK131" s="19">
        <f t="shared" ca="1" si="246"/>
        <v>0</v>
      </c>
      <c r="AL131" s="19">
        <f t="shared" ca="1" si="246"/>
        <v>0</v>
      </c>
      <c r="AM131" s="19">
        <f t="shared" ca="1" si="246"/>
        <v>0</v>
      </c>
      <c r="AN131" s="19">
        <f t="shared" ca="1" si="246"/>
        <v>0</v>
      </c>
      <c r="AO131" s="19">
        <f t="shared" ca="1" si="246"/>
        <v>0</v>
      </c>
      <c r="AP131" s="19">
        <f t="shared" ca="1" si="246"/>
        <v>0</v>
      </c>
      <c r="AQ131" s="19">
        <f t="shared" ca="1" si="246"/>
        <v>0</v>
      </c>
      <c r="AR131" s="19">
        <f t="shared" ca="1" si="246"/>
        <v>0</v>
      </c>
      <c r="AS131" s="19"/>
      <c r="AT131" s="19"/>
      <c r="AU131" s="21"/>
    </row>
    <row r="132" spans="3:47" ht="15.75" x14ac:dyDescent="0.25">
      <c r="C132" s="174">
        <v>44348</v>
      </c>
      <c r="D132" s="40"/>
      <c r="E132" s="150"/>
      <c r="F132" s="40"/>
      <c r="G132" s="40"/>
      <c r="H132" s="40"/>
      <c r="I132" s="19">
        <v>0</v>
      </c>
      <c r="J132" s="19">
        <f t="shared" ref="J132:U132" ca="1" si="247">IF(J69&gt;$C$132,0,OFFSET($I$116,0,MAX((ROUND(($C$132-J69)/30+1,0)),0)))</f>
        <v>702450</v>
      </c>
      <c r="K132" s="19">
        <f t="shared" ca="1" si="247"/>
        <v>632205</v>
      </c>
      <c r="L132" s="19">
        <f t="shared" ca="1" si="247"/>
        <v>0</v>
      </c>
      <c r="M132" s="19">
        <f t="shared" ca="1" si="247"/>
        <v>0</v>
      </c>
      <c r="N132" s="19">
        <f t="shared" ca="1" si="247"/>
        <v>0</v>
      </c>
      <c r="O132" s="19">
        <f t="shared" ca="1" si="247"/>
        <v>0</v>
      </c>
      <c r="P132" s="19">
        <f t="shared" ca="1" si="247"/>
        <v>0</v>
      </c>
      <c r="Q132" s="19">
        <f t="shared" ca="1" si="247"/>
        <v>0</v>
      </c>
      <c r="R132" s="19">
        <f t="shared" ca="1" si="247"/>
        <v>0</v>
      </c>
      <c r="S132" s="19">
        <f t="shared" ca="1" si="247"/>
        <v>0</v>
      </c>
      <c r="T132" s="19">
        <f t="shared" ca="1" si="247"/>
        <v>0</v>
      </c>
      <c r="U132" s="19">
        <f t="shared" ca="1" si="247"/>
        <v>0</v>
      </c>
      <c r="V132" s="19"/>
      <c r="W132" s="19"/>
      <c r="X132" s="21"/>
      <c r="Z132" s="174">
        <v>44348</v>
      </c>
      <c r="AA132" s="40"/>
      <c r="AB132" s="150"/>
      <c r="AC132" s="40"/>
      <c r="AD132" s="40"/>
      <c r="AE132" s="40"/>
      <c r="AF132" s="19">
        <v>0</v>
      </c>
      <c r="AG132" s="19">
        <f t="shared" ref="AG132:AR132" ca="1" si="248">IF(AG69&gt;$Z$132,0,OFFSET($AF$116,0,MAX((ROUND(($Z$132-AG69)/30+1,0)),0)))</f>
        <v>702450</v>
      </c>
      <c r="AH132" s="19">
        <f t="shared" ca="1" si="248"/>
        <v>632205</v>
      </c>
      <c r="AI132" s="19">
        <f t="shared" ca="1" si="248"/>
        <v>0</v>
      </c>
      <c r="AJ132" s="19">
        <f t="shared" ca="1" si="248"/>
        <v>0</v>
      </c>
      <c r="AK132" s="19">
        <f t="shared" ca="1" si="248"/>
        <v>0</v>
      </c>
      <c r="AL132" s="19">
        <f t="shared" ca="1" si="248"/>
        <v>0</v>
      </c>
      <c r="AM132" s="19">
        <f t="shared" ca="1" si="248"/>
        <v>0</v>
      </c>
      <c r="AN132" s="19">
        <f t="shared" ca="1" si="248"/>
        <v>0</v>
      </c>
      <c r="AO132" s="19">
        <f t="shared" ca="1" si="248"/>
        <v>0</v>
      </c>
      <c r="AP132" s="19">
        <f t="shared" ca="1" si="248"/>
        <v>0</v>
      </c>
      <c r="AQ132" s="19">
        <f t="shared" ca="1" si="248"/>
        <v>0</v>
      </c>
      <c r="AR132" s="19">
        <f t="shared" ca="1" si="248"/>
        <v>0</v>
      </c>
      <c r="AS132" s="19"/>
      <c r="AT132" s="19"/>
      <c r="AU132" s="21"/>
    </row>
    <row r="133" spans="3:47" ht="15.75" thickBot="1" x14ac:dyDescent="0.3">
      <c r="C133" s="11"/>
      <c r="D133" s="2"/>
      <c r="E133" s="2"/>
      <c r="F133" s="2"/>
      <c r="G133" s="2"/>
      <c r="H133" s="2"/>
      <c r="I133" s="2"/>
      <c r="J133" s="2"/>
      <c r="K133" s="2"/>
      <c r="L133" s="2"/>
      <c r="M133" s="2"/>
      <c r="N133" s="2"/>
      <c r="O133" s="2"/>
      <c r="P133" s="2"/>
      <c r="Q133" s="2"/>
      <c r="R133" s="2"/>
      <c r="S133" s="2"/>
      <c r="T133" s="2"/>
      <c r="U133" s="2"/>
      <c r="V133" s="2"/>
      <c r="W133" s="2"/>
      <c r="X133" s="41"/>
      <c r="Z133" s="11"/>
      <c r="AA133" s="2"/>
      <c r="AB133" s="2"/>
      <c r="AC133" s="2"/>
      <c r="AD133" s="2"/>
      <c r="AE133" s="2"/>
      <c r="AF133" s="2"/>
      <c r="AG133" s="2"/>
      <c r="AH133" s="2"/>
      <c r="AI133" s="2"/>
      <c r="AJ133" s="2"/>
      <c r="AK133" s="2"/>
      <c r="AL133" s="2"/>
      <c r="AM133" s="2"/>
      <c r="AN133" s="2"/>
      <c r="AO133" s="2"/>
      <c r="AP133" s="2"/>
      <c r="AQ133" s="2"/>
      <c r="AR133" s="2"/>
      <c r="AS133" s="2"/>
      <c r="AT133" s="2"/>
      <c r="AU133" s="4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X64"/>
  <sheetViews>
    <sheetView showGridLines="0" rightToLeft="1" topLeftCell="A25" zoomScale="85" zoomScaleNormal="85" workbookViewId="0">
      <selection activeCell="C49" sqref="C49:C61"/>
    </sheetView>
  </sheetViews>
  <sheetFormatPr defaultRowHeight="15.75" x14ac:dyDescent="0.25"/>
  <cols>
    <col min="1" max="2" width="4" style="200" customWidth="1"/>
    <col min="3" max="3" width="45.28515625" style="200" bestFit="1" customWidth="1"/>
    <col min="4" max="9" width="7" style="200" customWidth="1"/>
    <col min="10" max="22" width="10.5703125" style="200" bestFit="1" customWidth="1"/>
    <col min="23" max="23" width="9.140625" style="200"/>
    <col min="24" max="24" width="10.28515625" style="200" bestFit="1" customWidth="1"/>
    <col min="25" max="16384" width="9.140625" style="200"/>
  </cols>
  <sheetData>
    <row r="1" spans="3:24" ht="16.5" thickBot="1" x14ac:dyDescent="0.3"/>
    <row r="2" spans="3:24" x14ac:dyDescent="0.25">
      <c r="C2" s="22" t="s">
        <v>227</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34"/>
      <c r="X2" s="20" t="s">
        <v>23</v>
      </c>
    </row>
    <row r="3" spans="3:24" x14ac:dyDescent="0.25">
      <c r="C3" s="24"/>
      <c r="D3" s="150"/>
      <c r="E3" s="71">
        <f>Dashboard!D4</f>
        <v>43983</v>
      </c>
      <c r="F3" s="150"/>
      <c r="G3" s="150"/>
      <c r="I3" s="208"/>
      <c r="J3" s="202">
        <f t="shared" ref="J3:V3" si="1">IF(J2&gt;=$E$3,1,0)</f>
        <v>1</v>
      </c>
      <c r="K3" s="202">
        <f t="shared" si="1"/>
        <v>1</v>
      </c>
      <c r="L3" s="202">
        <f t="shared" si="1"/>
        <v>1</v>
      </c>
      <c r="M3" s="202">
        <f t="shared" si="1"/>
        <v>1</v>
      </c>
      <c r="N3" s="202">
        <f t="shared" si="1"/>
        <v>1</v>
      </c>
      <c r="O3" s="202">
        <f t="shared" si="1"/>
        <v>1</v>
      </c>
      <c r="P3" s="202">
        <f t="shared" si="1"/>
        <v>1</v>
      </c>
      <c r="Q3" s="202">
        <f t="shared" si="1"/>
        <v>1</v>
      </c>
      <c r="R3" s="202">
        <f t="shared" si="1"/>
        <v>1</v>
      </c>
      <c r="S3" s="202">
        <f t="shared" si="1"/>
        <v>1</v>
      </c>
      <c r="T3" s="202">
        <f t="shared" si="1"/>
        <v>1</v>
      </c>
      <c r="U3" s="202">
        <f t="shared" si="1"/>
        <v>1</v>
      </c>
      <c r="V3" s="202">
        <f t="shared" si="1"/>
        <v>1</v>
      </c>
      <c r="W3" s="202"/>
      <c r="X3" s="203"/>
    </row>
    <row r="4" spans="3:24" x14ac:dyDescent="0.25">
      <c r="C4" s="24" t="s">
        <v>228</v>
      </c>
      <c r="D4" s="150"/>
      <c r="E4" s="201"/>
      <c r="F4" s="150"/>
      <c r="G4" s="150"/>
      <c r="I4" s="150"/>
      <c r="J4" s="202">
        <f t="array" ref="J4:V4">TRANSPOSE(הנחות!O59:O71)</f>
        <v>0</v>
      </c>
      <c r="K4" s="202">
        <v>0</v>
      </c>
      <c r="L4" s="202">
        <v>0</v>
      </c>
      <c r="M4" s="202">
        <v>0</v>
      </c>
      <c r="N4" s="202">
        <v>0</v>
      </c>
      <c r="O4" s="202">
        <v>0</v>
      </c>
      <c r="P4" s="202">
        <v>0</v>
      </c>
      <c r="Q4" s="202">
        <v>0</v>
      </c>
      <c r="R4" s="202">
        <v>0</v>
      </c>
      <c r="S4" s="202">
        <v>0</v>
      </c>
      <c r="T4" s="202">
        <v>0</v>
      </c>
      <c r="U4" s="202">
        <v>0</v>
      </c>
      <c r="V4" s="202">
        <v>0</v>
      </c>
      <c r="W4" s="202"/>
      <c r="X4" s="203">
        <f>SUM(J4:V4)</f>
        <v>0</v>
      </c>
    </row>
    <row r="5" spans="3:24" x14ac:dyDescent="0.25">
      <c r="C5" s="24" t="s">
        <v>300</v>
      </c>
      <c r="D5" s="150"/>
      <c r="E5" s="201"/>
      <c r="F5" s="150"/>
      <c r="G5" s="150"/>
      <c r="I5" s="150"/>
      <c r="J5" s="202">
        <f>J64</f>
        <v>0</v>
      </c>
      <c r="K5" s="202">
        <f t="shared" ref="K5:V5" si="2">K64</f>
        <v>0</v>
      </c>
      <c r="L5" s="202">
        <f t="shared" si="2"/>
        <v>0</v>
      </c>
      <c r="M5" s="202">
        <f t="shared" si="2"/>
        <v>0</v>
      </c>
      <c r="N5" s="202">
        <f t="shared" si="2"/>
        <v>0</v>
      </c>
      <c r="O5" s="202">
        <f t="shared" si="2"/>
        <v>0</v>
      </c>
      <c r="P5" s="202">
        <f t="shared" si="2"/>
        <v>0</v>
      </c>
      <c r="Q5" s="202">
        <f t="shared" si="2"/>
        <v>0</v>
      </c>
      <c r="R5" s="202">
        <f t="shared" si="2"/>
        <v>0</v>
      </c>
      <c r="S5" s="202">
        <f t="shared" si="2"/>
        <v>0</v>
      </c>
      <c r="T5" s="202">
        <f t="shared" si="2"/>
        <v>0</v>
      </c>
      <c r="U5" s="202">
        <f t="shared" si="2"/>
        <v>0</v>
      </c>
      <c r="V5" s="202">
        <f t="shared" si="2"/>
        <v>0</v>
      </c>
      <c r="W5" s="202"/>
      <c r="X5" s="203"/>
    </row>
    <row r="6" spans="3:24" x14ac:dyDescent="0.25">
      <c r="C6" s="24" t="s">
        <v>299</v>
      </c>
      <c r="D6" s="150"/>
      <c r="E6" s="201"/>
      <c r="F6" s="150"/>
      <c r="G6" s="150"/>
      <c r="I6" s="150"/>
      <c r="J6" s="202">
        <f>J45</f>
        <v>0</v>
      </c>
      <c r="K6" s="202">
        <f t="shared" ref="K6:V6" si="3">K45</f>
        <v>0</v>
      </c>
      <c r="L6" s="202">
        <f t="shared" si="3"/>
        <v>0</v>
      </c>
      <c r="M6" s="202">
        <f t="shared" si="3"/>
        <v>0</v>
      </c>
      <c r="N6" s="202">
        <f t="shared" si="3"/>
        <v>0</v>
      </c>
      <c r="O6" s="202">
        <f t="shared" si="3"/>
        <v>0</v>
      </c>
      <c r="P6" s="202">
        <f t="shared" si="3"/>
        <v>0</v>
      </c>
      <c r="Q6" s="202">
        <f t="shared" si="3"/>
        <v>0</v>
      </c>
      <c r="R6" s="202">
        <f t="shared" si="3"/>
        <v>0</v>
      </c>
      <c r="S6" s="202">
        <f t="shared" si="3"/>
        <v>0</v>
      </c>
      <c r="T6" s="202">
        <f t="shared" si="3"/>
        <v>0</v>
      </c>
      <c r="U6" s="202">
        <f t="shared" si="3"/>
        <v>0</v>
      </c>
      <c r="V6" s="202">
        <f t="shared" si="3"/>
        <v>0</v>
      </c>
      <c r="W6" s="202"/>
      <c r="X6" s="203">
        <f t="shared" ref="X6:X8" si="4">SUM(J6:V6)</f>
        <v>0</v>
      </c>
    </row>
    <row r="7" spans="3:24" ht="7.5" customHeight="1" x14ac:dyDescent="0.25">
      <c r="C7" s="24"/>
      <c r="D7" s="150"/>
      <c r="E7" s="201"/>
      <c r="F7" s="150"/>
      <c r="G7" s="150"/>
      <c r="I7" s="150"/>
      <c r="J7" s="202"/>
      <c r="K7" s="202"/>
      <c r="L7" s="202"/>
      <c r="M7" s="202"/>
      <c r="N7" s="202"/>
      <c r="O7" s="202"/>
      <c r="P7" s="202"/>
      <c r="Q7" s="202"/>
      <c r="R7" s="202"/>
      <c r="S7" s="202"/>
      <c r="T7" s="202"/>
      <c r="U7" s="202"/>
      <c r="V7" s="202"/>
      <c r="W7" s="202"/>
      <c r="X7" s="203"/>
    </row>
    <row r="8" spans="3:24" x14ac:dyDescent="0.25">
      <c r="C8" s="24" t="s">
        <v>273</v>
      </c>
      <c r="D8" s="150"/>
      <c r="E8" s="201"/>
      <c r="F8" s="150"/>
      <c r="G8" s="150"/>
      <c r="I8" s="150"/>
      <c r="J8" s="223">
        <f>SUM(J4,J5)</f>
        <v>0</v>
      </c>
      <c r="K8" s="223">
        <f t="shared" ref="K8:V8" si="5">SUM(K4,K5)</f>
        <v>0</v>
      </c>
      <c r="L8" s="223">
        <f t="shared" si="5"/>
        <v>0</v>
      </c>
      <c r="M8" s="223">
        <f t="shared" si="5"/>
        <v>0</v>
      </c>
      <c r="N8" s="223">
        <f t="shared" si="5"/>
        <v>0</v>
      </c>
      <c r="O8" s="223">
        <f t="shared" si="5"/>
        <v>0</v>
      </c>
      <c r="P8" s="223">
        <f t="shared" si="5"/>
        <v>0</v>
      </c>
      <c r="Q8" s="223">
        <f t="shared" si="5"/>
        <v>0</v>
      </c>
      <c r="R8" s="223">
        <f t="shared" si="5"/>
        <v>0</v>
      </c>
      <c r="S8" s="223">
        <f t="shared" si="5"/>
        <v>0</v>
      </c>
      <c r="T8" s="223">
        <f t="shared" si="5"/>
        <v>0</v>
      </c>
      <c r="U8" s="223">
        <f t="shared" si="5"/>
        <v>0</v>
      </c>
      <c r="V8" s="223">
        <f t="shared" si="5"/>
        <v>0</v>
      </c>
      <c r="W8" s="202"/>
      <c r="X8" s="224">
        <f t="shared" si="4"/>
        <v>0</v>
      </c>
    </row>
    <row r="9" spans="3:24" x14ac:dyDescent="0.25">
      <c r="C9" s="24"/>
      <c r="D9" s="150"/>
      <c r="E9" s="201"/>
      <c r="F9" s="150"/>
      <c r="G9" s="150"/>
      <c r="I9" s="150"/>
      <c r="J9" s="202"/>
      <c r="K9" s="202"/>
      <c r="L9" s="202"/>
      <c r="M9" s="202"/>
      <c r="N9" s="202"/>
      <c r="O9" s="202"/>
      <c r="P9" s="202"/>
      <c r="Q9" s="202"/>
      <c r="R9" s="202"/>
      <c r="S9" s="202"/>
      <c r="T9" s="202"/>
      <c r="U9" s="202"/>
      <c r="V9" s="202"/>
      <c r="W9" s="202"/>
      <c r="X9" s="203"/>
    </row>
    <row r="10" spans="3:24" x14ac:dyDescent="0.25">
      <c r="C10" s="24" t="s">
        <v>274</v>
      </c>
      <c r="D10" s="150"/>
      <c r="E10" s="201"/>
      <c r="F10" s="150"/>
      <c r="G10" s="150"/>
      <c r="I10" s="150"/>
      <c r="J10" s="202">
        <f>SUM(J4,J6)</f>
        <v>0</v>
      </c>
      <c r="K10" s="202">
        <f t="shared" ref="K10:V10" si="6">SUM(K4,K6)</f>
        <v>0</v>
      </c>
      <c r="L10" s="202">
        <f t="shared" si="6"/>
        <v>0</v>
      </c>
      <c r="M10" s="202">
        <f t="shared" si="6"/>
        <v>0</v>
      </c>
      <c r="N10" s="202">
        <f t="shared" si="6"/>
        <v>0</v>
      </c>
      <c r="O10" s="202">
        <f t="shared" si="6"/>
        <v>0</v>
      </c>
      <c r="P10" s="202">
        <f t="shared" si="6"/>
        <v>0</v>
      </c>
      <c r="Q10" s="202">
        <f t="shared" si="6"/>
        <v>0</v>
      </c>
      <c r="R10" s="202">
        <f t="shared" si="6"/>
        <v>0</v>
      </c>
      <c r="S10" s="202">
        <f t="shared" si="6"/>
        <v>0</v>
      </c>
      <c r="T10" s="202">
        <f t="shared" si="6"/>
        <v>0</v>
      </c>
      <c r="U10" s="202">
        <f t="shared" si="6"/>
        <v>0</v>
      </c>
      <c r="V10" s="202">
        <f t="shared" si="6"/>
        <v>0</v>
      </c>
      <c r="W10" s="202"/>
      <c r="X10" s="203"/>
    </row>
    <row r="11" spans="3:24" x14ac:dyDescent="0.25">
      <c r="C11" s="9"/>
      <c r="D11" s="150"/>
      <c r="E11" s="201"/>
      <c r="F11" s="150"/>
      <c r="G11" s="150"/>
      <c r="I11" s="150"/>
      <c r="J11" s="202"/>
      <c r="K11" s="202"/>
      <c r="L11" s="202"/>
      <c r="M11" s="202"/>
      <c r="N11" s="202"/>
      <c r="O11" s="202"/>
      <c r="P11" s="202"/>
      <c r="Q11" s="202"/>
      <c r="R11" s="202"/>
      <c r="S11" s="202"/>
      <c r="T11" s="202"/>
      <c r="U11" s="202"/>
      <c r="V11" s="202"/>
      <c r="W11" s="202"/>
      <c r="X11" s="203"/>
    </row>
    <row r="12" spans="3:24" x14ac:dyDescent="0.25">
      <c r="C12" s="17" t="s">
        <v>199</v>
      </c>
      <c r="D12" s="150"/>
      <c r="E12" s="225">
        <f>הנחות!S75</f>
        <v>0</v>
      </c>
      <c r="F12" s="150"/>
      <c r="G12" s="150"/>
      <c r="I12" s="150"/>
      <c r="J12" s="202">
        <f t="shared" ref="J12:V12" si="7">J8*$E$12</f>
        <v>0</v>
      </c>
      <c r="K12" s="202">
        <f t="shared" si="7"/>
        <v>0</v>
      </c>
      <c r="L12" s="202">
        <f t="shared" si="7"/>
        <v>0</v>
      </c>
      <c r="M12" s="202">
        <f t="shared" si="7"/>
        <v>0</v>
      </c>
      <c r="N12" s="202">
        <f t="shared" si="7"/>
        <v>0</v>
      </c>
      <c r="O12" s="202">
        <f t="shared" si="7"/>
        <v>0</v>
      </c>
      <c r="P12" s="202">
        <f t="shared" si="7"/>
        <v>0</v>
      </c>
      <c r="Q12" s="202">
        <f t="shared" si="7"/>
        <v>0</v>
      </c>
      <c r="R12" s="202">
        <f t="shared" si="7"/>
        <v>0</v>
      </c>
      <c r="S12" s="202">
        <f t="shared" si="7"/>
        <v>0</v>
      </c>
      <c r="T12" s="202">
        <f t="shared" si="7"/>
        <v>0</v>
      </c>
      <c r="U12" s="202">
        <f t="shared" si="7"/>
        <v>0</v>
      </c>
      <c r="V12" s="202">
        <f t="shared" si="7"/>
        <v>0</v>
      </c>
      <c r="W12" s="202"/>
      <c r="X12" s="203">
        <f t="shared" ref="X12:X15" si="8">SUM(J12:V12)</f>
        <v>0</v>
      </c>
    </row>
    <row r="13" spans="3:24" x14ac:dyDescent="0.25">
      <c r="C13" s="17" t="s">
        <v>200</v>
      </c>
      <c r="D13" s="150"/>
      <c r="E13" s="225">
        <f>הנחות!S76</f>
        <v>0</v>
      </c>
      <c r="F13" s="150"/>
      <c r="G13" s="150"/>
      <c r="I13" s="150"/>
      <c r="J13" s="202">
        <f t="shared" ref="J13:V13" si="9">J8*$E$13</f>
        <v>0</v>
      </c>
      <c r="K13" s="202">
        <f t="shared" si="9"/>
        <v>0</v>
      </c>
      <c r="L13" s="202">
        <f t="shared" si="9"/>
        <v>0</v>
      </c>
      <c r="M13" s="202">
        <f t="shared" si="9"/>
        <v>0</v>
      </c>
      <c r="N13" s="202">
        <f t="shared" si="9"/>
        <v>0</v>
      </c>
      <c r="O13" s="202">
        <f t="shared" si="9"/>
        <v>0</v>
      </c>
      <c r="P13" s="202">
        <f t="shared" si="9"/>
        <v>0</v>
      </c>
      <c r="Q13" s="202">
        <f t="shared" si="9"/>
        <v>0</v>
      </c>
      <c r="R13" s="202">
        <f t="shared" si="9"/>
        <v>0</v>
      </c>
      <c r="S13" s="202">
        <f t="shared" si="9"/>
        <v>0</v>
      </c>
      <c r="T13" s="202">
        <f t="shared" si="9"/>
        <v>0</v>
      </c>
      <c r="U13" s="202">
        <f t="shared" si="9"/>
        <v>0</v>
      </c>
      <c r="V13" s="202">
        <f t="shared" si="9"/>
        <v>0</v>
      </c>
      <c r="W13" s="202"/>
      <c r="X13" s="203">
        <f t="shared" si="8"/>
        <v>0</v>
      </c>
    </row>
    <row r="14" spans="3:24" x14ac:dyDescent="0.25">
      <c r="C14" s="17" t="s">
        <v>201</v>
      </c>
      <c r="D14" s="150"/>
      <c r="E14" s="225">
        <f>הנחות!S77</f>
        <v>0</v>
      </c>
      <c r="F14" s="150"/>
      <c r="G14" s="150"/>
      <c r="I14" s="150"/>
      <c r="J14" s="202">
        <f t="shared" ref="J14:V14" si="10">J8*$E$14</f>
        <v>0</v>
      </c>
      <c r="K14" s="202">
        <f t="shared" si="10"/>
        <v>0</v>
      </c>
      <c r="L14" s="202">
        <f t="shared" si="10"/>
        <v>0</v>
      </c>
      <c r="M14" s="202">
        <f t="shared" si="10"/>
        <v>0</v>
      </c>
      <c r="N14" s="202">
        <f t="shared" si="10"/>
        <v>0</v>
      </c>
      <c r="O14" s="202">
        <f t="shared" si="10"/>
        <v>0</v>
      </c>
      <c r="P14" s="202">
        <f t="shared" si="10"/>
        <v>0</v>
      </c>
      <c r="Q14" s="202">
        <f t="shared" si="10"/>
        <v>0</v>
      </c>
      <c r="R14" s="202">
        <f t="shared" si="10"/>
        <v>0</v>
      </c>
      <c r="S14" s="202">
        <f t="shared" si="10"/>
        <v>0</v>
      </c>
      <c r="T14" s="202">
        <f t="shared" si="10"/>
        <v>0</v>
      </c>
      <c r="U14" s="202">
        <f t="shared" si="10"/>
        <v>0</v>
      </c>
      <c r="V14" s="202">
        <f t="shared" si="10"/>
        <v>0</v>
      </c>
      <c r="W14" s="202"/>
      <c r="X14" s="203">
        <f t="shared" si="8"/>
        <v>0</v>
      </c>
    </row>
    <row r="15" spans="3:24" x14ac:dyDescent="0.25">
      <c r="C15" s="17" t="s">
        <v>202</v>
      </c>
      <c r="D15" s="150"/>
      <c r="E15" s="225">
        <f>הנחות!S78</f>
        <v>0</v>
      </c>
      <c r="F15" s="150"/>
      <c r="G15" s="150"/>
      <c r="I15" s="150"/>
      <c r="J15" s="202">
        <f t="shared" ref="J15:V15" si="11">J8*$E$15</f>
        <v>0</v>
      </c>
      <c r="K15" s="202">
        <f t="shared" si="11"/>
        <v>0</v>
      </c>
      <c r="L15" s="202">
        <f t="shared" si="11"/>
        <v>0</v>
      </c>
      <c r="M15" s="202">
        <f t="shared" si="11"/>
        <v>0</v>
      </c>
      <c r="N15" s="202">
        <f t="shared" si="11"/>
        <v>0</v>
      </c>
      <c r="O15" s="202">
        <f t="shared" si="11"/>
        <v>0</v>
      </c>
      <c r="P15" s="202">
        <f t="shared" si="11"/>
        <v>0</v>
      </c>
      <c r="Q15" s="202">
        <f t="shared" si="11"/>
        <v>0</v>
      </c>
      <c r="R15" s="202">
        <f t="shared" si="11"/>
        <v>0</v>
      </c>
      <c r="S15" s="202">
        <f t="shared" si="11"/>
        <v>0</v>
      </c>
      <c r="T15" s="202">
        <f t="shared" si="11"/>
        <v>0</v>
      </c>
      <c r="U15" s="202">
        <f t="shared" si="11"/>
        <v>0</v>
      </c>
      <c r="V15" s="202">
        <f t="shared" si="11"/>
        <v>0</v>
      </c>
      <c r="W15" s="202"/>
      <c r="X15" s="203">
        <f t="shared" si="8"/>
        <v>0</v>
      </c>
    </row>
    <row r="16" spans="3:24" ht="16.5" thickBot="1" x14ac:dyDescent="0.3">
      <c r="C16" s="211"/>
      <c r="D16" s="220"/>
      <c r="E16" s="220"/>
      <c r="F16" s="220"/>
      <c r="G16" s="220"/>
      <c r="H16" s="221"/>
      <c r="I16" s="220"/>
      <c r="J16" s="213"/>
      <c r="K16" s="213"/>
      <c r="L16" s="213"/>
      <c r="M16" s="213"/>
      <c r="N16" s="213"/>
      <c r="O16" s="213"/>
      <c r="P16" s="213"/>
      <c r="Q16" s="213"/>
      <c r="R16" s="213"/>
      <c r="S16" s="213"/>
      <c r="T16" s="213"/>
      <c r="U16" s="213"/>
      <c r="V16" s="213"/>
      <c r="W16" s="213"/>
      <c r="X16" s="222"/>
    </row>
    <row r="17" spans="3:24" ht="16.5" thickBot="1" x14ac:dyDescent="0.3"/>
    <row r="18" spans="3:24" x14ac:dyDescent="0.25">
      <c r="C18" s="12" t="s">
        <v>226</v>
      </c>
      <c r="D18" s="34"/>
      <c r="E18" s="34"/>
      <c r="F18" s="34"/>
      <c r="G18" s="34"/>
      <c r="H18" s="34"/>
      <c r="I18" s="34"/>
      <c r="J18" s="34">
        <f>הנחות!F6</f>
        <v>43983</v>
      </c>
      <c r="K18" s="34">
        <f>EDATE(J18,1)</f>
        <v>44013</v>
      </c>
      <c r="L18" s="34">
        <f t="shared" ref="L18:V18" si="12">EDATE(K18,1)</f>
        <v>44044</v>
      </c>
      <c r="M18" s="34">
        <f t="shared" si="12"/>
        <v>44075</v>
      </c>
      <c r="N18" s="34">
        <f t="shared" si="12"/>
        <v>44105</v>
      </c>
      <c r="O18" s="34">
        <f t="shared" si="12"/>
        <v>44136</v>
      </c>
      <c r="P18" s="34">
        <f t="shared" si="12"/>
        <v>44166</v>
      </c>
      <c r="Q18" s="34">
        <f t="shared" si="12"/>
        <v>44197</v>
      </c>
      <c r="R18" s="34">
        <f t="shared" si="12"/>
        <v>44228</v>
      </c>
      <c r="S18" s="34">
        <f t="shared" si="12"/>
        <v>44256</v>
      </c>
      <c r="T18" s="34">
        <f t="shared" si="12"/>
        <v>44287</v>
      </c>
      <c r="U18" s="34">
        <f t="shared" si="12"/>
        <v>44317</v>
      </c>
      <c r="V18" s="34">
        <f t="shared" si="12"/>
        <v>44348</v>
      </c>
      <c r="W18" s="34"/>
      <c r="X18" s="20" t="s">
        <v>23</v>
      </c>
    </row>
    <row r="19" spans="3:24" x14ac:dyDescent="0.25">
      <c r="C19" s="9"/>
      <c r="D19" s="206"/>
      <c r="E19" s="206"/>
      <c r="F19" s="206"/>
      <c r="G19" s="206"/>
      <c r="W19" s="202"/>
      <c r="X19" s="210"/>
    </row>
    <row r="20" spans="3:24" x14ac:dyDescent="0.25">
      <c r="C20" s="9" t="s">
        <v>295</v>
      </c>
      <c r="D20" s="206"/>
      <c r="E20" s="206"/>
      <c r="F20" s="206"/>
      <c r="G20" s="206"/>
      <c r="J20" s="202">
        <f t="array" ref="J20:V20">TRANSPOSE(הנחות!S61:S73)</f>
        <v>0</v>
      </c>
      <c r="K20" s="202">
        <v>0</v>
      </c>
      <c r="L20" s="202">
        <v>0</v>
      </c>
      <c r="M20" s="202">
        <v>0</v>
      </c>
      <c r="N20" s="202">
        <v>0</v>
      </c>
      <c r="O20" s="202">
        <v>0</v>
      </c>
      <c r="P20" s="202">
        <v>0</v>
      </c>
      <c r="Q20" s="202">
        <v>0</v>
      </c>
      <c r="R20" s="202">
        <v>0</v>
      </c>
      <c r="S20" s="202">
        <v>0</v>
      </c>
      <c r="T20" s="202">
        <v>0</v>
      </c>
      <c r="U20" s="202">
        <v>0</v>
      </c>
      <c r="V20" s="202">
        <v>0</v>
      </c>
      <c r="W20" s="202"/>
      <c r="X20" s="210"/>
    </row>
    <row r="21" spans="3:24" x14ac:dyDescent="0.25">
      <c r="C21" s="9" t="s">
        <v>296</v>
      </c>
      <c r="D21" s="206"/>
      <c r="E21" s="206"/>
      <c r="F21" s="206"/>
      <c r="G21" s="206"/>
      <c r="J21" s="202">
        <f>IF(AND(J3=1,I3=0),1,IF(AND(J3=1,I3=1),2,0))</f>
        <v>1</v>
      </c>
      <c r="K21" s="202">
        <f t="shared" ref="K21:V21" si="13">IF(AND(K3=1,J3=0),1,IF(AND(K3=1,J3=1),2,0))</f>
        <v>2</v>
      </c>
      <c r="L21" s="202">
        <f t="shared" si="13"/>
        <v>2</v>
      </c>
      <c r="M21" s="202">
        <f t="shared" si="13"/>
        <v>2</v>
      </c>
      <c r="N21" s="202">
        <f t="shared" si="13"/>
        <v>2</v>
      </c>
      <c r="O21" s="202">
        <f t="shared" si="13"/>
        <v>2</v>
      </c>
      <c r="P21" s="202">
        <f t="shared" si="13"/>
        <v>2</v>
      </c>
      <c r="Q21" s="202">
        <f t="shared" si="13"/>
        <v>2</v>
      </c>
      <c r="R21" s="202">
        <f t="shared" si="13"/>
        <v>2</v>
      </c>
      <c r="S21" s="202">
        <f t="shared" si="13"/>
        <v>2</v>
      </c>
      <c r="T21" s="202">
        <f t="shared" si="13"/>
        <v>2</v>
      </c>
      <c r="U21" s="202">
        <f t="shared" si="13"/>
        <v>2</v>
      </c>
      <c r="V21" s="202">
        <f t="shared" si="13"/>
        <v>2</v>
      </c>
      <c r="W21" s="202"/>
      <c r="X21" s="210"/>
    </row>
    <row r="22" spans="3:24" x14ac:dyDescent="0.25">
      <c r="C22" s="9" t="s">
        <v>297</v>
      </c>
      <c r="D22" s="206"/>
      <c r="E22" s="206"/>
      <c r="F22" s="206"/>
      <c r="G22" s="206"/>
      <c r="J22" s="202">
        <f>IF(J21=2,J20,IF(J21=1,SUM($I$20:J20),0))</f>
        <v>0</v>
      </c>
      <c r="K22" s="202">
        <f>IF(K21=2,K20,IF(K21=1,SUM($I$20:K20),0))</f>
        <v>0</v>
      </c>
      <c r="L22" s="202">
        <f>IF(L21=2,L20,IF(L21=1,SUM($I$20:L20),0))</f>
        <v>0</v>
      </c>
      <c r="M22" s="202">
        <f>IF(M21=2,M20,IF(M21=1,SUM($I$20:M20),0))</f>
        <v>0</v>
      </c>
      <c r="N22" s="202">
        <f>IF(N21=2,N20,IF(N21=1,SUM($I$20:N20),0))</f>
        <v>0</v>
      </c>
      <c r="O22" s="202">
        <f>IF(O21=2,O20,IF(O21=1,SUM($I$20:O20),0))</f>
        <v>0</v>
      </c>
      <c r="P22" s="202">
        <f>IF(P21=2,P20,IF(P21=1,SUM($I$20:P20),0))</f>
        <v>0</v>
      </c>
      <c r="Q22" s="202">
        <f>IF(Q21=2,Q20,IF(Q21=1,SUM($I$20:Q20),0))</f>
        <v>0</v>
      </c>
      <c r="R22" s="202">
        <f>IF(R21=2,R20,IF(R21=1,SUM($I$20:R20),0))</f>
        <v>0</v>
      </c>
      <c r="S22" s="202">
        <f>IF(S21=2,S20,IF(S21=1,SUM($I$20:S20),0))</f>
        <v>0</v>
      </c>
      <c r="T22" s="202">
        <f>IF(T21=2,T20,IF(T21=1,SUM($I$20:T20),0))</f>
        <v>0</v>
      </c>
      <c r="U22" s="202">
        <f>IF(U21=2,U20,IF(U21=1,SUM($I$20:U20),0))</f>
        <v>0</v>
      </c>
      <c r="V22" s="202">
        <f>IF(V21=2,V20,IF(V21=1,SUM($I$20:V20),0))</f>
        <v>0</v>
      </c>
      <c r="W22" s="202"/>
      <c r="X22" s="210"/>
    </row>
    <row r="23" spans="3:24" x14ac:dyDescent="0.25">
      <c r="C23" s="9"/>
      <c r="D23" s="206"/>
      <c r="E23" s="206"/>
      <c r="F23" s="206"/>
      <c r="G23" s="206"/>
      <c r="J23" s="202"/>
      <c r="K23" s="202"/>
      <c r="L23" s="202"/>
      <c r="M23" s="202"/>
      <c r="N23" s="202"/>
      <c r="O23" s="202"/>
      <c r="P23" s="202"/>
      <c r="Q23" s="202"/>
      <c r="R23" s="202"/>
      <c r="S23" s="202"/>
      <c r="T23" s="202"/>
      <c r="U23" s="202"/>
      <c r="V23" s="202"/>
      <c r="W23" s="202"/>
      <c r="X23" s="210"/>
    </row>
    <row r="24" spans="3:24" x14ac:dyDescent="0.25">
      <c r="C24" s="9"/>
      <c r="D24" s="206"/>
      <c r="E24" s="206"/>
      <c r="F24" s="206"/>
      <c r="G24" s="206"/>
      <c r="W24" s="202"/>
      <c r="X24" s="210"/>
    </row>
    <row r="25" spans="3:24" ht="16.5" thickBot="1" x14ac:dyDescent="0.3">
      <c r="C25" s="211"/>
      <c r="D25" s="212"/>
      <c r="E25" s="216">
        <v>0.5</v>
      </c>
      <c r="F25" s="212"/>
      <c r="G25" s="212"/>
      <c r="H25" s="212"/>
      <c r="I25" s="217"/>
      <c r="J25" s="213">
        <f t="array" ref="J25:V25">TRANSPOSE(הנחות!S61:S73)</f>
        <v>0</v>
      </c>
      <c r="K25" s="213">
        <v>0</v>
      </c>
      <c r="L25" s="213">
        <v>0</v>
      </c>
      <c r="M25" s="213">
        <v>0</v>
      </c>
      <c r="N25" s="213">
        <v>0</v>
      </c>
      <c r="O25" s="213">
        <v>0</v>
      </c>
      <c r="P25" s="213">
        <v>0</v>
      </c>
      <c r="Q25" s="213">
        <v>0</v>
      </c>
      <c r="R25" s="213">
        <v>0</v>
      </c>
      <c r="S25" s="213">
        <v>0</v>
      </c>
      <c r="T25" s="213">
        <v>0</v>
      </c>
      <c r="U25" s="213">
        <v>0</v>
      </c>
      <c r="V25" s="213">
        <v>0</v>
      </c>
      <c r="W25" s="213"/>
      <c r="X25" s="214">
        <f>SUM(J25:V25)</f>
        <v>0</v>
      </c>
    </row>
    <row r="26" spans="3:24" x14ac:dyDescent="0.25">
      <c r="I26" s="205"/>
      <c r="J26" s="205"/>
      <c r="K26" s="205"/>
      <c r="L26" s="205"/>
      <c r="M26" s="205"/>
      <c r="N26" s="205"/>
      <c r="O26" s="205"/>
      <c r="P26" s="205"/>
      <c r="Q26" s="205"/>
      <c r="R26" s="205"/>
      <c r="S26" s="205"/>
      <c r="T26" s="205"/>
    </row>
    <row r="27" spans="3:24" ht="16.5" thickBot="1" x14ac:dyDescent="0.3">
      <c r="I27" s="205"/>
      <c r="J27" s="205"/>
      <c r="K27" s="205"/>
      <c r="L27" s="205"/>
      <c r="M27" s="205"/>
      <c r="N27" s="205"/>
      <c r="O27" s="205"/>
      <c r="P27" s="205"/>
      <c r="Q27" s="205"/>
      <c r="R27" s="205"/>
      <c r="S27" s="205"/>
      <c r="T27" s="205"/>
    </row>
    <row r="28" spans="3:24" x14ac:dyDescent="0.25">
      <c r="C28" s="22" t="s">
        <v>143</v>
      </c>
      <c r="D28" s="34"/>
      <c r="E28" s="34"/>
      <c r="F28" s="34"/>
      <c r="G28" s="34"/>
      <c r="H28" s="34"/>
      <c r="I28" s="34"/>
      <c r="J28" s="34">
        <f>הנחות!F6</f>
        <v>43983</v>
      </c>
      <c r="K28" s="34">
        <f>EDATE(J28,1)</f>
        <v>44013</v>
      </c>
      <c r="L28" s="34">
        <f t="shared" ref="L28:V28" si="14">EDATE(K28,1)</f>
        <v>44044</v>
      </c>
      <c r="M28" s="34">
        <f t="shared" si="14"/>
        <v>44075</v>
      </c>
      <c r="N28" s="34">
        <f t="shared" si="14"/>
        <v>44105</v>
      </c>
      <c r="O28" s="34">
        <f t="shared" si="14"/>
        <v>44136</v>
      </c>
      <c r="P28" s="34">
        <f t="shared" si="14"/>
        <v>44166</v>
      </c>
      <c r="Q28" s="34">
        <f t="shared" si="14"/>
        <v>44197</v>
      </c>
      <c r="R28" s="34">
        <f t="shared" si="14"/>
        <v>44228</v>
      </c>
      <c r="S28" s="34">
        <f t="shared" si="14"/>
        <v>44256</v>
      </c>
      <c r="T28" s="34">
        <f t="shared" si="14"/>
        <v>44287</v>
      </c>
      <c r="U28" s="34">
        <f t="shared" si="14"/>
        <v>44317</v>
      </c>
      <c r="V28" s="34">
        <f t="shared" si="14"/>
        <v>44348</v>
      </c>
      <c r="W28" s="34"/>
      <c r="X28" s="20" t="s">
        <v>23</v>
      </c>
    </row>
    <row r="29" spans="3:24" x14ac:dyDescent="0.25">
      <c r="C29" s="9"/>
      <c r="D29" s="206">
        <f>הנחות!S59</f>
        <v>0</v>
      </c>
      <c r="E29" s="207">
        <f>IFERROR(1/D29,0)</f>
        <v>0</v>
      </c>
      <c r="F29" s="206"/>
      <c r="I29" s="208"/>
      <c r="J29" s="208"/>
      <c r="K29" s="208"/>
      <c r="L29" s="208"/>
      <c r="M29" s="208"/>
      <c r="N29" s="208"/>
      <c r="O29" s="208"/>
      <c r="P29" s="208"/>
      <c r="Q29" s="208"/>
      <c r="R29" s="208"/>
      <c r="S29" s="208"/>
      <c r="T29" s="208"/>
      <c r="U29" s="208"/>
      <c r="V29" s="208"/>
      <c r="W29" s="208"/>
      <c r="X29" s="209"/>
    </row>
    <row r="30" spans="3:24" x14ac:dyDescent="0.25">
      <c r="C30" s="174">
        <f t="array" ref="C30:C42">TRANSPOSE(J28:V28)</f>
        <v>43983</v>
      </c>
      <c r="D30" s="206"/>
      <c r="E30" s="206"/>
      <c r="F30" s="206"/>
      <c r="G30" s="206"/>
      <c r="H30" s="206"/>
      <c r="I30" s="208"/>
      <c r="J30" s="202">
        <f>IF(J28&lt;$C$30,0,IF(J28=$C$30,$J$25*$E$29*$E$25,IF(((SUM($I30:I$30)+$J$25*$E$29)&lt;$J$25),$J$25*$E$29,$J$25-SUM($I30:I$30))))</f>
        <v>0</v>
      </c>
      <c r="K30" s="202">
        <f>IF(K28&lt;$C$30,0,IF(K28=$C$30,$J$25*$E$29*$E$25,IF(((SUM($I30:J$30)+$J$25*$E$29)&lt;$J$25),$J$25*$E$29,$J$25-SUM($I30:J$30))))</f>
        <v>0</v>
      </c>
      <c r="L30" s="202">
        <f>IF(L28&lt;$C$30,0,IF(L28=$C$30,$J$25*$E$29*$E$25,IF(((SUM($I30:K$30)+$J$25*$E$29)&lt;$J$25),$J$25*$E$29,$J$25-SUM($I30:K$30))))</f>
        <v>0</v>
      </c>
      <c r="M30" s="202">
        <f>IF(M28&lt;$C$30,0,IF(M28=$C$30,$J$25*$E$29*$E$25,IF(((SUM($I30:L$30)+$J$25*$E$29)&lt;$J$25),$J$25*$E$29,$J$25-SUM($I30:L$30))))</f>
        <v>0</v>
      </c>
      <c r="N30" s="202">
        <f>IF(N28&lt;$C$30,0,IF(N28=$C$30,$J$25*$E$29*$E$25,IF(((SUM($I30:M$30)+$J$25*$E$29)&lt;$J$25),$J$25*$E$29,$J$25-SUM($I30:M$30))))</f>
        <v>0</v>
      </c>
      <c r="O30" s="202">
        <f>IF(O28&lt;$C$30,0,IF(O28=$C$30,$J$25*$E$29*$E$25,IF(((SUM($I30:N$30)+$J$25*$E$29)&lt;$J$25),$J$25*$E$29,$J$25-SUM($I30:N$30))))</f>
        <v>0</v>
      </c>
      <c r="P30" s="202">
        <f>IF(P28&lt;$C$30,0,IF(P28=$C$30,$J$25*$E$29*$E$25,IF(((SUM($I30:O$30)+$J$25*$E$29)&lt;$J$25),$J$25*$E$29,$J$25-SUM($I30:O$30))))</f>
        <v>0</v>
      </c>
      <c r="Q30" s="202">
        <f>IF(Q28&lt;$C$30,0,IF(Q28=$C$30,$J$25*$E$29*$E$25,IF(((SUM($I30:P$30)+$J$25*$E$29)&lt;$J$25),$J$25*$E$29,$J$25-SUM($I30:P$30))))</f>
        <v>0</v>
      </c>
      <c r="R30" s="202">
        <f>IF(R28&lt;$C$30,0,IF(R28=$C$30,$J$25*$E$29*$E$25,IF(((SUM($I30:Q$30)+$J$25*$E$29)&lt;$J$25),$J$25*$E$29,$J$25-SUM($I30:Q$30))))</f>
        <v>0</v>
      </c>
      <c r="S30" s="202">
        <f>IF(S28&lt;$C$30,0,IF(S28=$C$30,$J$25*$E$29*$E$25,IF(((SUM($I30:R$30)+$J$25*$E$29)&lt;$J$25),$J$25*$E$29,$J$25-SUM($I30:R$30))))</f>
        <v>0</v>
      </c>
      <c r="T30" s="202">
        <f>IF(T28&lt;$C$30,0,IF(T28=$C$30,$J$25*$E$29*$E$25,IF(((SUM($I30:S$30)+$J$25*$E$29)&lt;$J$25),$J$25*$E$29,$J$25-SUM($I30:S$30))))</f>
        <v>0</v>
      </c>
      <c r="U30" s="202">
        <f>IF(U28&lt;$C$30,0,IF(U28=$C$30,$J$25*$E$29*$E$25,IF(((SUM($I30:T$30)+$J$25*$E$29)&lt;$J$25),$J$25*$E$29,$J$25-SUM($I30:T$30))))</f>
        <v>0</v>
      </c>
      <c r="V30" s="202">
        <f>IF(V28&lt;$C$30,0,IF(V28=$C$30,$J$25*$E$29*$E$25,IF(((SUM($I30:U$30)+$J$25*$E$29)&lt;$J$25),$J$25*$E$29,$J$25-SUM($I30:U$30))))</f>
        <v>0</v>
      </c>
      <c r="W30" s="202"/>
      <c r="X30" s="210">
        <f>SUM(J30:V30)</f>
        <v>0</v>
      </c>
    </row>
    <row r="31" spans="3:24" x14ac:dyDescent="0.25">
      <c r="C31" s="174">
        <v>44013</v>
      </c>
      <c r="D31" s="206"/>
      <c r="E31" s="206"/>
      <c r="F31" s="206"/>
      <c r="G31" s="206"/>
      <c r="H31" s="206"/>
      <c r="I31" s="208"/>
      <c r="J31" s="202">
        <f>IF(J28&lt;$C$31,0,IF(J28=$C$31,$K$25*$E$29*$E$25,IF(((SUM($I31:I$31)+$K$25*$E$29)&lt;$K$25),$K$25*$E$29,$K$25-SUM($I31:I$31))))</f>
        <v>0</v>
      </c>
      <c r="K31" s="202">
        <f>IF(K28&lt;$C$31,0,IF(K28=$C$31,$K$25*$E$29*$E$25,IF(((SUM($I31:J$31)+$K$25*$E$29)&lt;$K$25),$K$25*$E$29,$K$25-SUM($I31:J$31))))</f>
        <v>0</v>
      </c>
      <c r="L31" s="202">
        <f>IF(L28&lt;$C$31,0,IF(L28=$C$31,$K$25*$E$29*$E$25,IF(((SUM($I31:K$31)+$K$25*$E$29)&lt;$K$25),$K$25*$E$29,$K$25-SUM($I31:K$31))))</f>
        <v>0</v>
      </c>
      <c r="M31" s="202">
        <f>IF(M28&lt;$C$31,0,IF(M28=$C$31,$K$25*$E$29*$E$25,IF(((SUM($I31:L$31)+$K$25*$E$29)&lt;$K$25),$K$25*$E$29,$K$25-SUM($I31:L$31))))</f>
        <v>0</v>
      </c>
      <c r="N31" s="202">
        <f>IF(N28&lt;$C$31,0,IF(N28=$C$31,$K$25*$E$29*$E$25,IF(((SUM($I31:M$31)+$K$25*$E$29)&lt;$K$25),$K$25*$E$29,$K$25-SUM($I31:M$31))))</f>
        <v>0</v>
      </c>
      <c r="O31" s="202">
        <f>IF(O28&lt;$C$31,0,IF(O28=$C$31,$K$25*$E$29*$E$25,IF(((SUM($I31:N$31)+$K$25*$E$29)&lt;$K$25),$K$25*$E$29,$K$25-SUM($I31:N$31))))</f>
        <v>0</v>
      </c>
      <c r="P31" s="202">
        <f>IF(P28&lt;$C$31,0,IF(P28=$C$31,$K$25*$E$29*$E$25,IF(((SUM($I31:O$31)+$K$25*$E$29)&lt;$K$25),$K$25*$E$29,$K$25-SUM($I31:O$31))))</f>
        <v>0</v>
      </c>
      <c r="Q31" s="202">
        <f>IF(Q28&lt;$C$31,0,IF(Q28=$C$31,$K$25*$E$29*$E$25,IF(((SUM($I31:P$31)+$K$25*$E$29)&lt;$K$25),$K$25*$E$29,$K$25-SUM($I31:P$31))))</f>
        <v>0</v>
      </c>
      <c r="R31" s="202">
        <f>IF(R28&lt;$C$31,0,IF(R28=$C$31,$K$25*$E$29*$E$25,IF(((SUM($I31:Q$31)+$K$25*$E$29)&lt;$K$25),$K$25*$E$29,$K$25-SUM($I31:Q$31))))</f>
        <v>0</v>
      </c>
      <c r="S31" s="202">
        <f>IF(S28&lt;$C$31,0,IF(S28=$C$31,$K$25*$E$29*$E$25,IF(((SUM($I31:R$31)+$K$25*$E$29)&lt;$K$25),$K$25*$E$29,$K$25-SUM($I31:R$31))))</f>
        <v>0</v>
      </c>
      <c r="T31" s="202">
        <f>IF(T28&lt;$C$31,0,IF(T28=$C$31,$K$25*$E$29*$E$25,IF(((SUM($I31:S$31)+$K$25*$E$29)&lt;$K$25),$K$25*$E$29,$K$25-SUM($I31:S$31))))</f>
        <v>0</v>
      </c>
      <c r="U31" s="202">
        <f>IF(U28&lt;$C$31,0,IF(U28=$C$31,$K$25*$E$29*$E$25,IF(((SUM($I31:T$31)+$K$25*$E$29)&lt;$K$25),$K$25*$E$29,$K$25-SUM($I31:T$31))))</f>
        <v>0</v>
      </c>
      <c r="V31" s="202">
        <f>IF(V28&lt;$C$31,0,IF(V28=$C$31,$K$25*$E$29*$E$25,IF(((SUM($I31:U$31)+$K$25*$E$29)&lt;$K$25),$K$25*$E$29,$K$25-SUM($I31:U$31))))</f>
        <v>0</v>
      </c>
      <c r="W31" s="202"/>
      <c r="X31" s="210">
        <f t="shared" ref="X31:X41" si="15">SUM(J31:V31)</f>
        <v>0</v>
      </c>
    </row>
    <row r="32" spans="3:24" x14ac:dyDescent="0.25">
      <c r="C32" s="174">
        <v>44044</v>
      </c>
      <c r="D32" s="206"/>
      <c r="E32" s="206"/>
      <c r="F32" s="206"/>
      <c r="G32" s="206"/>
      <c r="H32" s="206"/>
      <c r="I32" s="208"/>
      <c r="J32" s="202">
        <f>IF(J28&lt;$C$32,0,IF(J28=$C$32,$L$25*$E$29*$E$25,IF(((SUM($I32:I$32)+$L$25*$E$29)&lt;$L$25),$L$25*$E$29,$L$25-SUM($I32:I$32))))</f>
        <v>0</v>
      </c>
      <c r="K32" s="202">
        <f>IF(K28&lt;$C$32,0,IF(K28=$C$32,$L$25*$E$29*$E$25,IF(((SUM($I32:J$32)+$L$25*$E$29)&lt;$L$25),$L$25*$E$29,$L$25-SUM($I32:J$32))))</f>
        <v>0</v>
      </c>
      <c r="L32" s="202">
        <f>IF(L28&lt;$C$32,0,IF(L28=$C$32,$L$25*$E$29*$E$25,IF(((SUM($I32:K$32)+$L$25*$E$29)&lt;$L$25),$L$25*$E$29,$L$25-SUM($I32:K$32))))</f>
        <v>0</v>
      </c>
      <c r="M32" s="202">
        <f>IF(M28&lt;$C$32,0,IF(M28=$C$32,$L$25*$E$29*$E$25,IF(((SUM($I32:L$32)+$L$25*$E$29)&lt;$L$25),$L$25*$E$29,$L$25-SUM($I32:L$32))))</f>
        <v>0</v>
      </c>
      <c r="N32" s="202">
        <f>IF(N28&lt;$C$32,0,IF(N28=$C$32,$L$25*$E$29*$E$25,IF(((SUM($I32:M$32)+$L$25*$E$29)&lt;$L$25),$L$25*$E$29,$L$25-SUM($I32:M$32))))</f>
        <v>0</v>
      </c>
      <c r="O32" s="202">
        <f>IF(O28&lt;$C$32,0,IF(O28=$C$32,$L$25*$E$29*$E$25,IF(((SUM($I32:N$32)+$L$25*$E$29)&lt;$L$25),$L$25*$E$29,$L$25-SUM($I32:N$32))))</f>
        <v>0</v>
      </c>
      <c r="P32" s="202">
        <f>IF(P28&lt;$C$32,0,IF(P28=$C$32,$L$25*$E$29*$E$25,IF(((SUM($I32:O$32)+$L$25*$E$29)&lt;$L$25),$L$25*$E$29,$L$25-SUM($I32:O$32))))</f>
        <v>0</v>
      </c>
      <c r="Q32" s="202">
        <f>IF(Q28&lt;$C$32,0,IF(Q28=$C$32,$L$25*$E$29*$E$25,IF(((SUM($I32:P$32)+$L$25*$E$29)&lt;$L$25),$L$25*$E$29,$L$25-SUM($I32:P$32))))</f>
        <v>0</v>
      </c>
      <c r="R32" s="202">
        <f>IF(R28&lt;$C$32,0,IF(R28=$C$32,$L$25*$E$29*$E$25,IF(((SUM($I32:Q$32)+$L$25*$E$29)&lt;$L$25),$L$25*$E$29,$L$25-SUM($I32:Q$32))))</f>
        <v>0</v>
      </c>
      <c r="S32" s="202">
        <f>IF(S28&lt;$C$32,0,IF(S28=$C$32,$L$25*$E$29*$E$25,IF(((SUM($I32:R$32)+$L$25*$E$29)&lt;$L$25),$L$25*$E$29,$L$25-SUM($I32:R$32))))</f>
        <v>0</v>
      </c>
      <c r="T32" s="202">
        <f>IF(T28&lt;$C$32,0,IF(T28=$C$32,$L$25*$E$29*$E$25,IF(((SUM($I32:S$32)+$L$25*$E$29)&lt;$L$25),$L$25*$E$29,$L$25-SUM($I32:S$32))))</f>
        <v>0</v>
      </c>
      <c r="U32" s="202">
        <f>IF(U28&lt;$C$32,0,IF(U28=$C$32,$L$25*$E$29*$E$25,IF(((SUM($I32:T$32)+$L$25*$E$29)&lt;$L$25),$L$25*$E$29,$L$25-SUM($I32:T$32))))</f>
        <v>0</v>
      </c>
      <c r="V32" s="202">
        <f>IF(V28&lt;$C$32,0,IF(V28=$C$32,$L$25*$E$29*$E$25,IF(((SUM($I32:U$32)+$L$25*$E$29)&lt;$L$25),$L$25*$E$29,$L$25-SUM($I32:U$32))))</f>
        <v>0</v>
      </c>
      <c r="W32" s="202"/>
      <c r="X32" s="210">
        <f t="shared" si="15"/>
        <v>0</v>
      </c>
    </row>
    <row r="33" spans="3:24" x14ac:dyDescent="0.25">
      <c r="C33" s="174">
        <v>44075</v>
      </c>
      <c r="D33" s="206"/>
      <c r="E33" s="206"/>
      <c r="F33" s="206"/>
      <c r="G33" s="206"/>
      <c r="H33" s="206"/>
      <c r="I33" s="208"/>
      <c r="J33" s="202">
        <f>IF(J28&lt;$C$33,0,IF(J28=$C$33,$M$25*$E$29*$E$25,IF(((SUM($I33:I$33)+$M$25*$E$29)&lt;$M$25),$M$25*$E$29,$M$25-SUM($I33:I$33))))</f>
        <v>0</v>
      </c>
      <c r="K33" s="202">
        <f>IF(K28&lt;$C$33,0,IF(K28=$C$33,$M$25*$E$29*$E$25,IF(((SUM($I33:J$33)+$M$25*$E$29)&lt;$M$25),$M$25*$E$29,$M$25-SUM($I33:J$33))))</f>
        <v>0</v>
      </c>
      <c r="L33" s="202">
        <f>IF(L28&lt;$C$33,0,IF(L28=$C$33,$M$25*$E$29*$E$25,IF(((SUM($I33:K$33)+$M$25*$E$29)&lt;$M$25),$M$25*$E$29,$M$25-SUM($I33:K$33))))</f>
        <v>0</v>
      </c>
      <c r="M33" s="202">
        <f>IF(M28&lt;$C$33,0,IF(M28=$C$33,$M$25*$E$29*$E$25,IF(((SUM($I33:L$33)+$M$25*$E$29)&lt;$M$25),$M$25*$E$29,$M$25-SUM($I33:L$33))))</f>
        <v>0</v>
      </c>
      <c r="N33" s="202">
        <f>IF(N28&lt;$C$33,0,IF(N28=$C$33,$M$25*$E$29*$E$25,IF(((SUM($I33:M$33)+$M$25*$E$29)&lt;$M$25),$M$25*$E$29,$M$25-SUM($I33:M$33))))</f>
        <v>0</v>
      </c>
      <c r="O33" s="202">
        <f>IF(O28&lt;$C$33,0,IF(O28=$C$33,$M$25*$E$29*$E$25,IF(((SUM($I33:N$33)+$M$25*$E$29)&lt;$M$25),$M$25*$E$29,$M$25-SUM($I33:N$33))))</f>
        <v>0</v>
      </c>
      <c r="P33" s="202">
        <f>IF(P28&lt;$C$33,0,IF(P28=$C$33,$M$25*$E$29*$E$25,IF(((SUM($I33:O$33)+$M$25*$E$29)&lt;$M$25),$M$25*$E$29,$M$25-SUM($I33:O$33))))</f>
        <v>0</v>
      </c>
      <c r="Q33" s="202">
        <f>IF(Q28&lt;$C$33,0,IF(Q28=$C$33,$M$25*$E$29*$E$25,IF(((SUM($I33:P$33)+$M$25*$E$29)&lt;$M$25),$M$25*$E$29,$M$25-SUM($I33:P$33))))</f>
        <v>0</v>
      </c>
      <c r="R33" s="202">
        <f>IF(R28&lt;$C$33,0,IF(R28=$C$33,$M$25*$E$29*$E$25,IF(((SUM($I33:Q$33)+$M$25*$E$29)&lt;$M$25),$M$25*$E$29,$M$25-SUM($I33:Q$33))))</f>
        <v>0</v>
      </c>
      <c r="S33" s="202">
        <f>IF(S28&lt;$C$33,0,IF(S28=$C$33,$M$25*$E$29*$E$25,IF(((SUM($I33:R$33)+$M$25*$E$29)&lt;$M$25),$M$25*$E$29,$M$25-SUM($I33:R$33))))</f>
        <v>0</v>
      </c>
      <c r="T33" s="202">
        <f>IF(T28&lt;$C$33,0,IF(T28=$C$33,$M$25*$E$29*$E$25,IF(((SUM($I33:S$33)+$M$25*$E$29)&lt;$M$25),$M$25*$E$29,$M$25-SUM($I33:S$33))))</f>
        <v>0</v>
      </c>
      <c r="U33" s="202">
        <f>IF(U28&lt;$C$33,0,IF(U28=$C$33,$M$25*$E$29*$E$25,IF(((SUM($I33:T$33)+$M$25*$E$29)&lt;$M$25),$M$25*$E$29,$M$25-SUM($I33:T$33))))</f>
        <v>0</v>
      </c>
      <c r="V33" s="202">
        <f>IF(V28&lt;$C$33,0,IF(V28=$C$33,$M$25*$E$29*$E$25,IF(((SUM($I33:U$33)+$M$25*$E$29)&lt;$M$25),$M$25*$E$29,$M$25-SUM($I33:U$33))))</f>
        <v>0</v>
      </c>
      <c r="W33" s="202"/>
      <c r="X33" s="210">
        <f t="shared" si="15"/>
        <v>0</v>
      </c>
    </row>
    <row r="34" spans="3:24" x14ac:dyDescent="0.25">
      <c r="C34" s="174">
        <v>44105</v>
      </c>
      <c r="D34" s="206"/>
      <c r="E34" s="206"/>
      <c r="F34" s="206"/>
      <c r="G34" s="206"/>
      <c r="H34" s="206"/>
      <c r="I34" s="208"/>
      <c r="J34" s="202">
        <f>IF(J28&lt;$C$34,0,IF(J28=$C$34,$N$25*$E$29*$E$25,IF(((SUM($I34:I$34)+$N$25*$E$29)&lt;$N$25),$N$25*$E$29,$N$25-SUM($I34:I$34))))</f>
        <v>0</v>
      </c>
      <c r="K34" s="202">
        <f>IF(K28&lt;$C$34,0,IF(K28=$C$34,$N$25*$E$29*$E$25,IF(((SUM($I34:J$34)+$N$25*$E$29)&lt;$N$25),$N$25*$E$29,$N$25-SUM($I34:J$34))))</f>
        <v>0</v>
      </c>
      <c r="L34" s="202">
        <f>IF(L28&lt;$C$34,0,IF(L28=$C$34,$N$25*$E$29*$E$25,IF(((SUM($I34:K$34)+$N$25*$E$29)&lt;$N$25),$N$25*$E$29,$N$25-SUM($I34:K$34))))</f>
        <v>0</v>
      </c>
      <c r="M34" s="202">
        <f>IF(M28&lt;$C$34,0,IF(M28=$C$34,$N$25*$E$29*$E$25,IF(((SUM($I34:L$34)+$N$25*$E$29)&lt;$N$25),$N$25*$E$29,$N$25-SUM($I34:L$34))))</f>
        <v>0</v>
      </c>
      <c r="N34" s="202">
        <f>IF(N28&lt;$C$34,0,IF(N28=$C$34,$N$25*$E$29*$E$25,IF(((SUM($I34:M$34)+$N$25*$E$29)&lt;$N$25),$N$25*$E$29,$N$25-SUM($I34:M$34))))</f>
        <v>0</v>
      </c>
      <c r="O34" s="202">
        <f>IF(O28&lt;$C$34,0,IF(O28=$C$34,$N$25*$E$29*$E$25,IF(((SUM($I34:N$34)+$N$25*$E$29)&lt;$N$25),$N$25*$E$29,$N$25-SUM($I34:N$34))))</f>
        <v>0</v>
      </c>
      <c r="P34" s="202">
        <f>IF(P28&lt;$C$34,0,IF(P28=$C$34,$N$25*$E$29*$E$25,IF(((SUM($I34:O$34)+$N$25*$E$29)&lt;$N$25),$N$25*$E$29,$N$25-SUM($I34:O$34))))</f>
        <v>0</v>
      </c>
      <c r="Q34" s="202">
        <f>IF(Q28&lt;$C$34,0,IF(Q28=$C$34,$N$25*$E$29*$E$25,IF(((SUM($I34:P$34)+$N$25*$E$29)&lt;$N$25),$N$25*$E$29,$N$25-SUM($I34:P$34))))</f>
        <v>0</v>
      </c>
      <c r="R34" s="202">
        <f>IF(R28&lt;$C$34,0,IF(R28=$C$34,$N$25*$E$29*$E$25,IF(((SUM($I34:Q$34)+$N$25*$E$29)&lt;$N$25),$N$25*$E$29,$N$25-SUM($I34:Q$34))))</f>
        <v>0</v>
      </c>
      <c r="S34" s="202">
        <f>IF(S28&lt;$C$34,0,IF(S28=$C$34,$N$25*$E$29*$E$25,IF(((SUM($I34:R$34)+$N$25*$E$29)&lt;$N$25),$N$25*$E$29,$N$25-SUM($I34:R$34))))</f>
        <v>0</v>
      </c>
      <c r="T34" s="202">
        <f>IF(T28&lt;$C$34,0,IF(T28=$C$34,$N$25*$E$29*$E$25,IF(((SUM($I34:S$34)+$N$25*$E$29)&lt;$N$25),$N$25*$E$29,$N$25-SUM($I34:S$34))))</f>
        <v>0</v>
      </c>
      <c r="U34" s="202">
        <f>IF(U28&lt;$C$34,0,IF(U28=$C$34,$N$25*$E$29*$E$25,IF(((SUM($I34:T$34)+$N$25*$E$29)&lt;$N$25),$N$25*$E$29,$N$25-SUM($I34:T$34))))</f>
        <v>0</v>
      </c>
      <c r="V34" s="202">
        <f>IF(V28&lt;$C$34,0,IF(V28=$C$34,$N$25*$E$29*$E$25,IF(((SUM($I34:U$34)+$N$25*$E$29)&lt;$N$25),$N$25*$E$29,$N$25-SUM($I34:U$34))))</f>
        <v>0</v>
      </c>
      <c r="W34" s="202"/>
      <c r="X34" s="210">
        <f t="shared" si="15"/>
        <v>0</v>
      </c>
    </row>
    <row r="35" spans="3:24" x14ac:dyDescent="0.25">
      <c r="C35" s="174">
        <v>44136</v>
      </c>
      <c r="D35" s="206"/>
      <c r="E35" s="206"/>
      <c r="F35" s="206"/>
      <c r="G35" s="206"/>
      <c r="H35" s="206"/>
      <c r="I35" s="208"/>
      <c r="J35" s="202">
        <f>IF(J28&lt;$C$35,0,IF(J28=$C$35,$O$25*$E$29*$E$25,IF(((SUM($I35:I$35)+$O$25*$E$29)&lt;$O$25),$O$25*$E$29,$O$25-SUM($I35:I$35))))</f>
        <v>0</v>
      </c>
      <c r="K35" s="202">
        <f>IF(K28&lt;$C$35,0,IF(K28=$C$35,$O$25*$E$29*$E$25,IF(((SUM($I35:J$35)+$O$25*$E$29)&lt;$O$25),$O$25*$E$29,$O$25-SUM($I35:J$35))))</f>
        <v>0</v>
      </c>
      <c r="L35" s="202">
        <f>IF(L28&lt;$C$35,0,IF(L28=$C$35,$O$25*$E$29*$E$25,IF(((SUM($I35:K$35)+$O$25*$E$29)&lt;$O$25),$O$25*$E$29,$O$25-SUM($I35:K$35))))</f>
        <v>0</v>
      </c>
      <c r="M35" s="202">
        <f>IF(M28&lt;$C$35,0,IF(M28=$C$35,$O$25*$E$29*$E$25,IF(((SUM($I35:L$35)+$O$25*$E$29)&lt;$O$25),$O$25*$E$29,$O$25-SUM($I35:L$35))))</f>
        <v>0</v>
      </c>
      <c r="N35" s="202">
        <f>IF(N28&lt;$C$35,0,IF(N28=$C$35,$O$25*$E$29*$E$25,IF(((SUM($I35:M$35)+$O$25*$E$29)&lt;$O$25),$O$25*$E$29,$O$25-SUM($I35:M$35))))</f>
        <v>0</v>
      </c>
      <c r="O35" s="202">
        <f>IF(O28&lt;$C$35,0,IF(O28=$C$35,$O$25*$E$29*$E$25,IF(((SUM($I35:N$35)+$O$25*$E$29)&lt;$O$25),$O$25*$E$29,$O$25-SUM($I35:N$35))))</f>
        <v>0</v>
      </c>
      <c r="P35" s="202">
        <f>IF(P28&lt;$C$35,0,IF(P28=$C$35,$O$25*$E$29*$E$25,IF(((SUM($I35:O$35)+$O$25*$E$29)&lt;$O$25),$O$25*$E$29,$O$25-SUM($I35:O$35))))</f>
        <v>0</v>
      </c>
      <c r="Q35" s="202">
        <f>IF(Q28&lt;$C$35,0,IF(Q28=$C$35,$O$25*$E$29*$E$25,IF(((SUM($I35:P$35)+$O$25*$E$29)&lt;$O$25),$O$25*$E$29,$O$25-SUM($I35:P$35))))</f>
        <v>0</v>
      </c>
      <c r="R35" s="202">
        <f>IF(R28&lt;$C$35,0,IF(R28=$C$35,$O$25*$E$29*$E$25,IF(((SUM($I35:Q$35)+$O$25*$E$29)&lt;$O$25),$O$25*$E$29,$O$25-SUM($I35:Q$35))))</f>
        <v>0</v>
      </c>
      <c r="S35" s="202">
        <f>IF(S28&lt;$C$35,0,IF(S28=$C$35,$O$25*$E$29*$E$25,IF(((SUM($I35:R$35)+$O$25*$E$29)&lt;$O$25),$O$25*$E$29,$O$25-SUM($I35:R$35))))</f>
        <v>0</v>
      </c>
      <c r="T35" s="202">
        <f>IF(T28&lt;$C$35,0,IF(T28=$C$35,$O$25*$E$29*$E$25,IF(((SUM($I35:S$35)+$O$25*$E$29)&lt;$O$25),$O$25*$E$29,$O$25-SUM($I35:S$35))))</f>
        <v>0</v>
      </c>
      <c r="U35" s="202">
        <f>IF(U28&lt;$C$35,0,IF(U28=$C$35,$O$25*$E$29*$E$25,IF(((SUM($I35:T$35)+$O$25*$E$29)&lt;$O$25),$O$25*$E$29,$O$25-SUM($I35:T$35))))</f>
        <v>0</v>
      </c>
      <c r="V35" s="202">
        <f>IF(V28&lt;$C$35,0,IF(V28=$C$35,$O$25*$E$29*$E$25,IF(((SUM($I35:U$35)+$O$25*$E$29)&lt;$O$25),$O$25*$E$29,$O$25-SUM($I35:U$35))))</f>
        <v>0</v>
      </c>
      <c r="W35" s="202"/>
      <c r="X35" s="210">
        <f t="shared" si="15"/>
        <v>0</v>
      </c>
    </row>
    <row r="36" spans="3:24" x14ac:dyDescent="0.25">
      <c r="C36" s="174">
        <v>44166</v>
      </c>
      <c r="D36" s="206"/>
      <c r="E36" s="206"/>
      <c r="F36" s="206"/>
      <c r="G36" s="206"/>
      <c r="H36" s="206"/>
      <c r="I36" s="208"/>
      <c r="J36" s="202">
        <f>IF(J28&lt;$C$36,0,IF(J28=$C$36,$P$25*$E$29*$E$25,IF(((SUM($I36:I$36)+$P$25*$E$29)&lt;$P$25),$P$25*$E$29,$P$25-SUM($I36:I$36))))</f>
        <v>0</v>
      </c>
      <c r="K36" s="202">
        <f>IF(K28&lt;$C$36,0,IF(K28=$C$36,$P$25*$E$29*$E$25,IF(((SUM($I36:J$36)+$P$25*$E$29)&lt;$P$25),$P$25*$E$29,$P$25-SUM($I36:J$36))))</f>
        <v>0</v>
      </c>
      <c r="L36" s="202">
        <f>IF(L28&lt;$C$36,0,IF(L28=$C$36,$P$25*$E$29*$E$25,IF(((SUM($I36:K$36)+$P$25*$E$29)&lt;$P$25),$P$25*$E$29,$P$25-SUM($I36:K$36))))</f>
        <v>0</v>
      </c>
      <c r="M36" s="202">
        <f>IF(M28&lt;$C$36,0,IF(M28=$C$36,$P$25*$E$29*$E$25,IF(((SUM($I36:L$36)+$P$25*$E$29)&lt;$P$25),$P$25*$E$29,$P$25-SUM($I36:L$36))))</f>
        <v>0</v>
      </c>
      <c r="N36" s="202">
        <f>IF(N28&lt;$C$36,0,IF(N28=$C$36,$P$25*$E$29*$E$25,IF(((SUM($I36:M$36)+$P$25*$E$29)&lt;$P$25),$P$25*$E$29,$P$25-SUM($I36:M$36))))</f>
        <v>0</v>
      </c>
      <c r="O36" s="202">
        <f>IF(O28&lt;$C$36,0,IF(O28=$C$36,$P$25*$E$29*$E$25,IF(((SUM($I36:N$36)+$P$25*$E$29)&lt;$P$25),$P$25*$E$29,$P$25-SUM($I36:N$36))))</f>
        <v>0</v>
      </c>
      <c r="P36" s="202">
        <f>IF(P28&lt;$C$36,0,IF(P28=$C$36,$P$25*$E$29*$E$25,IF(((SUM($I36:O$36)+$P$25*$E$29)&lt;$P$25),$P$25*$E$29,$P$25-SUM($I36:O$36))))</f>
        <v>0</v>
      </c>
      <c r="Q36" s="202">
        <f>IF(Q28&lt;$C$36,0,IF(Q28=$C$36,$P$25*$E$29*$E$25,IF(((SUM($I36:P$36)+$P$25*$E$29)&lt;$P$25),$P$25*$E$29,$P$25-SUM($I36:P$36))))</f>
        <v>0</v>
      </c>
      <c r="R36" s="202">
        <f>IF(R28&lt;$C$36,0,IF(R28=$C$36,$P$25*$E$29*$E$25,IF(((SUM($I36:Q$36)+$P$25*$E$29)&lt;$P$25),$P$25*$E$29,$P$25-SUM($I36:Q$36))))</f>
        <v>0</v>
      </c>
      <c r="S36" s="202">
        <f>IF(S28&lt;$C$36,0,IF(S28=$C$36,$P$25*$E$29*$E$25,IF(((SUM($I36:R$36)+$P$25*$E$29)&lt;$P$25),$P$25*$E$29,$P$25-SUM($I36:R$36))))</f>
        <v>0</v>
      </c>
      <c r="T36" s="202">
        <f>IF(T28&lt;$C$36,0,IF(T28=$C$36,$P$25*$E$29*$E$25,IF(((SUM($I36:S$36)+$P$25*$E$29)&lt;$P$25),$P$25*$E$29,$P$25-SUM($I36:S$36))))</f>
        <v>0</v>
      </c>
      <c r="U36" s="202">
        <f>IF(U28&lt;$C$36,0,IF(U28=$C$36,$P$25*$E$29*$E$25,IF(((SUM($I36:T$36)+$P$25*$E$29)&lt;$P$25),$P$25*$E$29,$P$25-SUM($I36:T$36))))</f>
        <v>0</v>
      </c>
      <c r="V36" s="202">
        <f>IF(V28&lt;$C$36,0,IF(V28=$C$36,$P$25*$E$29*$E$25,IF(((SUM($I36:U$36)+$P$25*$E$29)&lt;$P$25),$P$25*$E$29,$P$25-SUM($I36:U$36))))</f>
        <v>0</v>
      </c>
      <c r="W36" s="202"/>
      <c r="X36" s="210">
        <f t="shared" si="15"/>
        <v>0</v>
      </c>
    </row>
    <row r="37" spans="3:24" x14ac:dyDescent="0.25">
      <c r="C37" s="174">
        <v>44197</v>
      </c>
      <c r="D37" s="206"/>
      <c r="E37" s="206"/>
      <c r="F37" s="206"/>
      <c r="G37" s="206"/>
      <c r="H37" s="206"/>
      <c r="I37" s="208"/>
      <c r="J37" s="202">
        <f>IF(J28&lt;$C$37,0,IF(J28=$C$37,$Q$25*$E$29*$E$25,IF(((SUM($I37:I$37)+$Q$25*$E$29)&lt;$Q$25),$Q$25*$E$29,$Q$25-SUM($I37:I$37))))</f>
        <v>0</v>
      </c>
      <c r="K37" s="202">
        <f>IF(K28&lt;$C$37,0,IF(K28=$C$37,$Q$25*$E$29*$E$25,IF(((SUM($I37:J$37)+$Q$25*$E$29)&lt;$Q$25),$Q$25*$E$29,$Q$25-SUM($I37:J$37))))</f>
        <v>0</v>
      </c>
      <c r="L37" s="202">
        <f>IF(L28&lt;$C$37,0,IF(L28=$C$37,$Q$25*$E$29*$E$25,IF(((SUM($I37:K$37)+$Q$25*$E$29)&lt;$Q$25),$Q$25*$E$29,$Q$25-SUM($I37:K$37))))</f>
        <v>0</v>
      </c>
      <c r="M37" s="202">
        <f>IF(M28&lt;$C$37,0,IF(M28=$C$37,$Q$25*$E$29*$E$25,IF(((SUM($I37:L$37)+$Q$25*$E$29)&lt;$Q$25),$Q$25*$E$29,$Q$25-SUM($I37:L$37))))</f>
        <v>0</v>
      </c>
      <c r="N37" s="202">
        <f>IF(N28&lt;$C$37,0,IF(N28=$C$37,$Q$25*$E$29*$E$25,IF(((SUM($I37:M$37)+$Q$25*$E$29)&lt;$Q$25),$Q$25*$E$29,$Q$25-SUM($I37:M$37))))</f>
        <v>0</v>
      </c>
      <c r="O37" s="202">
        <f>IF(O28&lt;$C$37,0,IF(O28=$C$37,$Q$25*$E$29*$E$25,IF(((SUM($I37:N$37)+$Q$25*$E$29)&lt;$Q$25),$Q$25*$E$29,$Q$25-SUM($I37:N$37))))</f>
        <v>0</v>
      </c>
      <c r="P37" s="202">
        <f>IF(P28&lt;$C$37,0,IF(P28=$C$37,$Q$25*$E$29*$E$25,IF(((SUM($I37:O$37)+$Q$25*$E$29)&lt;$Q$25),$Q$25*$E$29,$Q$25-SUM($I37:O$37))))</f>
        <v>0</v>
      </c>
      <c r="Q37" s="202">
        <f>IF(Q28&lt;$C$37,0,IF(Q28=$C$37,$Q$25*$E$29*$E$25,IF(((SUM($I37:P$37)+$Q$25*$E$29)&lt;$Q$25),$Q$25*$E$29,$Q$25-SUM($I37:P$37))))</f>
        <v>0</v>
      </c>
      <c r="R37" s="202">
        <f>IF(R28&lt;$C$37,0,IF(R28=$C$37,$Q$25*$E$29*$E$25,IF(((SUM($I37:Q$37)+$Q$25*$E$29)&lt;$Q$25),$Q$25*$E$29,$Q$25-SUM($I37:Q$37))))</f>
        <v>0</v>
      </c>
      <c r="S37" s="202">
        <f>IF(S28&lt;$C$37,0,IF(S28=$C$37,$Q$25*$E$29*$E$25,IF(((SUM($I37:R$37)+$Q$25*$E$29)&lt;$Q$25),$Q$25*$E$29,$Q$25-SUM($I37:R$37))))</f>
        <v>0</v>
      </c>
      <c r="T37" s="202">
        <f>IF(T28&lt;$C$37,0,IF(T28=$C$37,$Q$25*$E$29*$E$25,IF(((SUM($I37:S$37)+$Q$25*$E$29)&lt;$Q$25),$Q$25*$E$29,$Q$25-SUM($I37:S$37))))</f>
        <v>0</v>
      </c>
      <c r="U37" s="202">
        <f>IF(U28&lt;$C$37,0,IF(U28=$C$37,$Q$25*$E$29*$E$25,IF(((SUM($I37:T$37)+$Q$25*$E$29)&lt;$Q$25),$Q$25*$E$29,$Q$25-SUM($I37:T$37))))</f>
        <v>0</v>
      </c>
      <c r="V37" s="202">
        <f>IF(V28&lt;$C$37,0,IF(V28=$C$37,$Q$25*$E$29*$E$25,IF(((SUM($I37:U$37)+$Q$25*$E$29)&lt;$Q$25),$Q$25*$E$29,$Q$25-SUM($I37:U$37))))</f>
        <v>0</v>
      </c>
      <c r="W37" s="202"/>
      <c r="X37" s="210">
        <f t="shared" si="15"/>
        <v>0</v>
      </c>
    </row>
    <row r="38" spans="3:24" x14ac:dyDescent="0.25">
      <c r="C38" s="174">
        <v>44228</v>
      </c>
      <c r="D38" s="206"/>
      <c r="E38" s="206"/>
      <c r="F38" s="206"/>
      <c r="G38" s="206"/>
      <c r="H38" s="206"/>
      <c r="I38" s="208"/>
      <c r="J38" s="202">
        <f>IF(J28&lt;$C$38,0,IF(J28=$C$38,$R$25*$E$29*$E$25,IF(((SUM($I38:I$38)+$R$25*$E$29)&lt;$R$25),$R$25*$E$29,$R$25-SUM($I38:I$38))))</f>
        <v>0</v>
      </c>
      <c r="K38" s="202">
        <f>IF(K28&lt;$C$38,0,IF(K28=$C$38,$R$25*$E$29*$E$25,IF(((SUM($I38:J$38)+$R$25*$E$29)&lt;$R$25),$R$25*$E$29,$R$25-SUM($I38:J$38))))</f>
        <v>0</v>
      </c>
      <c r="L38" s="202">
        <f>IF(L28&lt;$C$38,0,IF(L28=$C$38,$R$25*$E$29*$E$25,IF(((SUM($I38:K$38)+$R$25*$E$29)&lt;$R$25),$R$25*$E$29,$R$25-SUM($I38:K$38))))</f>
        <v>0</v>
      </c>
      <c r="M38" s="202">
        <f>IF(M28&lt;$C$38,0,IF(M28=$C$38,$R$25*$E$29*$E$25,IF(((SUM($I38:L$38)+$R$25*$E$29)&lt;$R$25),$R$25*$E$29,$R$25-SUM($I38:L$38))))</f>
        <v>0</v>
      </c>
      <c r="N38" s="202">
        <f>IF(N28&lt;$C$38,0,IF(N28=$C$38,$R$25*$E$29*$E$25,IF(((SUM($I38:M$38)+$R$25*$E$29)&lt;$R$25),$R$25*$E$29,$R$25-SUM($I38:M$38))))</f>
        <v>0</v>
      </c>
      <c r="O38" s="202">
        <f>IF(O28&lt;$C$38,0,IF(O28=$C$38,$R$25*$E$29*$E$25,IF(((SUM($I38:N$38)+$R$25*$E$29)&lt;$R$25),$R$25*$E$29,$R$25-SUM($I38:N$38))))</f>
        <v>0</v>
      </c>
      <c r="P38" s="202">
        <f>IF(P28&lt;$C$38,0,IF(P28=$C$38,$R$25*$E$29*$E$25,IF(((SUM($I38:O$38)+$R$25*$E$29)&lt;$R$25),$R$25*$E$29,$R$25-SUM($I38:O$38))))</f>
        <v>0</v>
      </c>
      <c r="Q38" s="202">
        <f>IF(Q28&lt;$C$38,0,IF(Q28=$C$38,$R$25*$E$29*$E$25,IF(((SUM($I38:P$38)+$R$25*$E$29)&lt;$R$25),$R$25*$E$29,$R$25-SUM($I38:P$38))))</f>
        <v>0</v>
      </c>
      <c r="R38" s="202">
        <f>IF(R28&lt;$C$38,0,IF(R28=$C$38,$R$25*$E$29*$E$25,IF(((SUM($I38:Q$38)+$R$25*$E$29)&lt;$R$25),$R$25*$E$29,$R$25-SUM($I38:Q$38))))</f>
        <v>0</v>
      </c>
      <c r="S38" s="202">
        <f>IF(S28&lt;$C$38,0,IF(S28=$C$38,$R$25*$E$29*$E$25,IF(((SUM($I38:R$38)+$R$25*$E$29)&lt;$R$25),$R$25*$E$29,$R$25-SUM($I38:R$38))))</f>
        <v>0</v>
      </c>
      <c r="T38" s="202">
        <f>IF(T28&lt;$C$38,0,IF(T28=$C$38,$R$25*$E$29*$E$25,IF(((SUM($I38:S$38)+$R$25*$E$29)&lt;$R$25),$R$25*$E$29,$R$25-SUM($I38:S$38))))</f>
        <v>0</v>
      </c>
      <c r="U38" s="202">
        <f>IF(U28&lt;$C$38,0,IF(U28=$C$38,$R$25*$E$29*$E$25,IF(((SUM($I38:T$38)+$R$25*$E$29)&lt;$R$25),$R$25*$E$29,$R$25-SUM($I38:T$38))))</f>
        <v>0</v>
      </c>
      <c r="V38" s="202">
        <f>IF(V28&lt;$C$38,0,IF(V28=$C$38,$R$25*$E$29*$E$25,IF(((SUM($I38:U$38)+$R$25*$E$29)&lt;$R$25),$R$25*$E$29,$R$25-SUM($I38:U$38))))</f>
        <v>0</v>
      </c>
      <c r="W38" s="202"/>
      <c r="X38" s="210">
        <f t="shared" si="15"/>
        <v>0</v>
      </c>
    </row>
    <row r="39" spans="3:24" x14ac:dyDescent="0.25">
      <c r="C39" s="174">
        <v>44256</v>
      </c>
      <c r="D39" s="206"/>
      <c r="E39" s="206"/>
      <c r="F39" s="206"/>
      <c r="G39" s="206"/>
      <c r="H39" s="206"/>
      <c r="I39" s="208"/>
      <c r="J39" s="202">
        <f>IF(J28&lt;$C$39,0,IF(J28=$C$39,$S$25*$E$29*$E$25,IF(((SUM($I39:I$39)+$S$25*$E$29)&lt;$S$25),$S$25*$E$29,$S$25-SUM($I39:I$39))))</f>
        <v>0</v>
      </c>
      <c r="K39" s="202">
        <f>IF(K28&lt;$C$39,0,IF(K28=$C$39,$S$25*$E$29*$E$25,IF(((SUM($I39:J$39)+$S$25*$E$29)&lt;$S$25),$S$25*$E$29,$S$25-SUM($I39:J$39))))</f>
        <v>0</v>
      </c>
      <c r="L39" s="202">
        <f>IF(L28&lt;$C$39,0,IF(L28=$C$39,$S$25*$E$29*$E$25,IF(((SUM($I39:K$39)+$S$25*$E$29)&lt;$S$25),$S$25*$E$29,$S$25-SUM($I39:K$39))))</f>
        <v>0</v>
      </c>
      <c r="M39" s="202">
        <f>IF(M28&lt;$C$39,0,IF(M28=$C$39,$S$25*$E$29*$E$25,IF(((SUM($I39:L$39)+$S$25*$E$29)&lt;$S$25),$S$25*$E$29,$S$25-SUM($I39:L$39))))</f>
        <v>0</v>
      </c>
      <c r="N39" s="202">
        <f>IF(N28&lt;$C$39,0,IF(N28=$C$39,$S$25*$E$29*$E$25,IF(((SUM($I39:M$39)+$S$25*$E$29)&lt;$S$25),$S$25*$E$29,$S$25-SUM($I39:M$39))))</f>
        <v>0</v>
      </c>
      <c r="O39" s="202">
        <f>IF(O28&lt;$C$39,0,IF(O28=$C$39,$S$25*$E$29*$E$25,IF(((SUM($I39:N$39)+$S$25*$E$29)&lt;$S$25),$S$25*$E$29,$S$25-SUM($I39:N$39))))</f>
        <v>0</v>
      </c>
      <c r="P39" s="202">
        <f>IF(P28&lt;$C$39,0,IF(P28=$C$39,$S$25*$E$29*$E$25,IF(((SUM($I39:O$39)+$S$25*$E$29)&lt;$S$25),$S$25*$E$29,$S$25-SUM($I39:O$39))))</f>
        <v>0</v>
      </c>
      <c r="Q39" s="202">
        <f>IF(Q28&lt;$C$39,0,IF(Q28=$C$39,$S$25*$E$29*$E$25,IF(((SUM($I39:P$39)+$S$25*$E$29)&lt;$S$25),$S$25*$E$29,$S$25-SUM($I39:P$39))))</f>
        <v>0</v>
      </c>
      <c r="R39" s="202">
        <f>IF(R28&lt;$C$39,0,IF(R28=$C$39,$S$25*$E$29*$E$25,IF(((SUM($I39:Q$39)+$S$25*$E$29)&lt;$S$25),$S$25*$E$29,$S$25-SUM($I39:Q$39))))</f>
        <v>0</v>
      </c>
      <c r="S39" s="202">
        <f>IF(S28&lt;$C$39,0,IF(S28=$C$39,$S$25*$E$29*$E$25,IF(((SUM($I39:R$39)+$S$25*$E$29)&lt;$S$25),$S$25*$E$29,$S$25-SUM($I39:R$39))))</f>
        <v>0</v>
      </c>
      <c r="T39" s="202">
        <f>IF(T28&lt;$C$39,0,IF(T28=$C$39,$S$25*$E$29*$E$25,IF(((SUM($I39:S$39)+$S$25*$E$29)&lt;$S$25),$S$25*$E$29,$S$25-SUM($I39:S$39))))</f>
        <v>0</v>
      </c>
      <c r="U39" s="202">
        <f>IF(U28&lt;$C$39,0,IF(U28=$C$39,$S$25*$E$29*$E$25,IF(((SUM($I39:T$39)+$S$25*$E$29)&lt;$S$25),$S$25*$E$29,$S$25-SUM($I39:T$39))))</f>
        <v>0</v>
      </c>
      <c r="V39" s="202">
        <f>IF(V28&lt;$C$39,0,IF(V28=$C$39,$S$25*$E$29*$E$25,IF(((SUM($I39:U$39)+$S$25*$E$29)&lt;$S$25),$S$25*$E$29,$S$25-SUM($I39:U$39))))</f>
        <v>0</v>
      </c>
      <c r="W39" s="202"/>
      <c r="X39" s="210">
        <f t="shared" si="15"/>
        <v>0</v>
      </c>
    </row>
    <row r="40" spans="3:24" x14ac:dyDescent="0.25">
      <c r="C40" s="174">
        <v>44287</v>
      </c>
      <c r="D40" s="206"/>
      <c r="E40" s="206"/>
      <c r="F40" s="206"/>
      <c r="G40" s="206"/>
      <c r="H40" s="206"/>
      <c r="I40" s="208"/>
      <c r="J40" s="202">
        <f>IF(J28&lt;$C$40,0,IF(J28=$C$40,$T$25*$E$29*$E$25,IF(((SUM($I40:I$40)+$T$25*$E$29)&lt;$T$25),$T$25*$E$29,$T$25-SUM($I40:I$40))))</f>
        <v>0</v>
      </c>
      <c r="K40" s="202">
        <f>IF(K28&lt;$C$40,0,IF(K28=$C$40,$T$25*$E$29*$E$25,IF(((SUM($I40:J$40)+$T$25*$E$29)&lt;$T$25),$T$25*$E$29,$T$25-SUM($I40:J$40))))</f>
        <v>0</v>
      </c>
      <c r="L40" s="202">
        <f>IF(L28&lt;$C$40,0,IF(L28=$C$40,$T$25*$E$29*$E$25,IF(((SUM($I40:K$40)+$T$25*$E$29)&lt;$T$25),$T$25*$E$29,$T$25-SUM($I40:K$40))))</f>
        <v>0</v>
      </c>
      <c r="M40" s="202">
        <f>IF(M28&lt;$C$40,0,IF(M28=$C$40,$T$25*$E$29*$E$25,IF(((SUM($I40:L$40)+$T$25*$E$29)&lt;$T$25),$T$25*$E$29,$T$25-SUM($I40:L$40))))</f>
        <v>0</v>
      </c>
      <c r="N40" s="202">
        <f>IF(N28&lt;$C$40,0,IF(N28=$C$40,$T$25*$E$29*$E$25,IF(((SUM($I40:M$40)+$T$25*$E$29)&lt;$T$25),$T$25*$E$29,$T$25-SUM($I40:M$40))))</f>
        <v>0</v>
      </c>
      <c r="O40" s="202">
        <f>IF(O28&lt;$C$40,0,IF(O28=$C$40,$T$25*$E$29*$E$25,IF(((SUM($I40:N$40)+$T$25*$E$29)&lt;$T$25),$T$25*$E$29,$T$25-SUM($I40:N$40))))</f>
        <v>0</v>
      </c>
      <c r="P40" s="202">
        <f>IF(P28&lt;$C$40,0,IF(P28=$C$40,$T$25*$E$29*$E$25,IF(((SUM($I40:O$40)+$T$25*$E$29)&lt;$T$25),$T$25*$E$29,$T$25-SUM($I40:O$40))))</f>
        <v>0</v>
      </c>
      <c r="Q40" s="202">
        <f>IF(Q28&lt;$C$40,0,IF(Q28=$C$40,$T$25*$E$29*$E$25,IF(((SUM($I40:P$40)+$T$25*$E$29)&lt;$T$25),$T$25*$E$29,$T$25-SUM($I40:P$40))))</f>
        <v>0</v>
      </c>
      <c r="R40" s="202">
        <f>IF(R28&lt;$C$40,0,IF(R28=$C$40,$T$25*$E$29*$E$25,IF(((SUM($I40:Q$40)+$T$25*$E$29)&lt;$T$25),$T$25*$E$29,$T$25-SUM($I40:Q$40))))</f>
        <v>0</v>
      </c>
      <c r="S40" s="202">
        <f>IF(S28&lt;$C$40,0,IF(S28=$C$40,$T$25*$E$29*$E$25,IF(((SUM($I40:R$40)+$T$25*$E$29)&lt;$T$25),$T$25*$E$29,$T$25-SUM($I40:R$40))))</f>
        <v>0</v>
      </c>
      <c r="T40" s="202">
        <f>IF(T28&lt;$C$40,0,IF(T28=$C$40,$T$25*$E$29*$E$25,IF(((SUM($I40:S$40)+$T$25*$E$29)&lt;$T$25),$T$25*$E$29,$T$25-SUM($I40:S$40))))</f>
        <v>0</v>
      </c>
      <c r="U40" s="202">
        <f>IF(U28&lt;$C$40,0,IF(U28=$C$40,$T$25*$E$29*$E$25,IF(((SUM($I40:T$40)+$T$25*$E$29)&lt;$T$25),$T$25*$E$29,$T$25-SUM($I40:T$40))))</f>
        <v>0</v>
      </c>
      <c r="V40" s="202">
        <f>IF(V28&lt;$C$40,0,IF(V28=$C$40,$T$25*$E$29*$E$25,IF(((SUM($I40:U$40)+$T$25*$E$29)&lt;$T$25),$T$25*$E$29,$T$25-SUM($I40:U$40))))</f>
        <v>0</v>
      </c>
      <c r="W40" s="202"/>
      <c r="X40" s="210">
        <f t="shared" si="15"/>
        <v>0</v>
      </c>
    </row>
    <row r="41" spans="3:24" x14ac:dyDescent="0.25">
      <c r="C41" s="174">
        <v>44317</v>
      </c>
      <c r="D41" s="206"/>
      <c r="E41" s="206"/>
      <c r="F41" s="206"/>
      <c r="G41" s="206"/>
      <c r="H41" s="206"/>
      <c r="I41" s="208"/>
      <c r="J41" s="202">
        <f>IF(J28&lt;$C$41,0,IF(J28=$C$41,$U$25*$E$29*$E$25,IF(((SUM($I41:I$41)+$U$25*$E$29)&lt;$U$25),$U$25*$E$29,$U$25-SUM($I41:I$41))))</f>
        <v>0</v>
      </c>
      <c r="K41" s="202">
        <f>IF(K28&lt;$C$41,0,IF(K28=$C$41,$U$25*$E$29*$E$25,IF(((SUM($I41:J$41)+$U$25*$E$29)&lt;$U$25),$U$25*$E$29,$U$25-SUM($I41:J$41))))</f>
        <v>0</v>
      </c>
      <c r="L41" s="202">
        <f>IF(L28&lt;$C$41,0,IF(L28=$C$41,$U$25*$E$29*$E$25,IF(((SUM($I41:K$41)+$U$25*$E$29)&lt;$U$25),$U$25*$E$29,$U$25-SUM($I41:K$41))))</f>
        <v>0</v>
      </c>
      <c r="M41" s="202">
        <f>IF(M28&lt;$C$41,0,IF(M28=$C$41,$U$25*$E$29*$E$25,IF(((SUM($I41:L$41)+$U$25*$E$29)&lt;$U$25),$U$25*$E$29,$U$25-SUM($I41:L$41))))</f>
        <v>0</v>
      </c>
      <c r="N41" s="202">
        <f>IF(N28&lt;$C$41,0,IF(N28=$C$41,$U$25*$E$29*$E$25,IF(((SUM($I41:M$41)+$U$25*$E$29)&lt;$U$25),$U$25*$E$29,$U$25-SUM($I41:M$41))))</f>
        <v>0</v>
      </c>
      <c r="O41" s="202">
        <f>IF(O28&lt;$C$41,0,IF(O28=$C$41,$U$25*$E$29*$E$25,IF(((SUM($I41:N$41)+$U$25*$E$29)&lt;$U$25),$U$25*$E$29,$U$25-SUM($I41:N$41))))</f>
        <v>0</v>
      </c>
      <c r="P41" s="202">
        <f>IF(P28&lt;$C$41,0,IF(P28=$C$41,$U$25*$E$29*$E$25,IF(((SUM($I41:O$41)+$U$25*$E$29)&lt;$U$25),$U$25*$E$29,$U$25-SUM($I41:O$41))))</f>
        <v>0</v>
      </c>
      <c r="Q41" s="202">
        <f>IF(Q28&lt;$C$41,0,IF(Q28=$C$41,$U$25*$E$29*$E$25,IF(((SUM($I41:P$41)+$U$25*$E$29)&lt;$U$25),$U$25*$E$29,$U$25-SUM($I41:P$41))))</f>
        <v>0</v>
      </c>
      <c r="R41" s="202">
        <f>IF(R28&lt;$C$41,0,IF(R28=$C$41,$U$25*$E$29*$E$25,IF(((SUM($I41:Q$41)+$U$25*$E$29)&lt;$U$25),$U$25*$E$29,$U$25-SUM($I41:Q$41))))</f>
        <v>0</v>
      </c>
      <c r="S41" s="202">
        <f>IF(S28&lt;$C$41,0,IF(S28=$C$41,$U$25*$E$29*$E$25,IF(((SUM($I41:R$41)+$U$25*$E$29)&lt;$U$25),$U$25*$E$29,$U$25-SUM($I41:R$41))))</f>
        <v>0</v>
      </c>
      <c r="T41" s="202">
        <f>IF(T28&lt;$C$41,0,IF(T28=$C$41,$U$25*$E$29*$E$25,IF(((SUM($I41:S$41)+$U$25*$E$29)&lt;$U$25),$U$25*$E$29,$U$25-SUM($I41:S$41))))</f>
        <v>0</v>
      </c>
      <c r="U41" s="202">
        <f>IF(U28&lt;$C$41,0,IF(U28=$C$41,$U$25*$E$29*$E$25,IF(((SUM($I41:T$41)+$U$25*$E$29)&lt;$U$25),$U$25*$E$29,$U$25-SUM($I41:T$41))))</f>
        <v>0</v>
      </c>
      <c r="V41" s="202">
        <f>IF(V28&lt;$C$41,0,IF(V28=$C$41,$U$25*$E$29*$E$25,IF(((SUM($I41:U$41)+$U$25*$E$29)&lt;$U$25),$U$25*$E$29,$U$25-SUM($I41:U$41))))</f>
        <v>0</v>
      </c>
      <c r="W41" s="202"/>
      <c r="X41" s="210">
        <f t="shared" si="15"/>
        <v>0</v>
      </c>
    </row>
    <row r="42" spans="3:24" x14ac:dyDescent="0.25">
      <c r="C42" s="174">
        <v>44348</v>
      </c>
      <c r="D42" s="206"/>
      <c r="E42" s="206"/>
      <c r="F42" s="206"/>
      <c r="G42" s="206"/>
      <c r="H42" s="206"/>
      <c r="I42" s="208"/>
      <c r="J42" s="202">
        <f>IF(J28&lt;$C$42,0,IF(J28=$C$42,$V$25*$E$29*$E$25,IF(((SUM($I42:I$42)+$T$25*$E$29)&lt;$T$25),$T$25*$E$29,$T$25-SUM($I42:I$42))))</f>
        <v>0</v>
      </c>
      <c r="K42" s="202">
        <f>IF(K28&lt;$C$42,0,IF(K28=$C$42,$V$25*$E$29*$E$25,IF(((SUM($I42:J$42)+$T$25*$E$29)&lt;$T$25),$T$25*$E$29,$T$25-SUM($I42:J$42))))</f>
        <v>0</v>
      </c>
      <c r="L42" s="202">
        <f>IF(L28&lt;$C$42,0,IF(L28=$C$42,$V$25*$E$29*$E$25,IF(((SUM($I42:K$42)+$T$25*$E$29)&lt;$T$25),$T$25*$E$29,$T$25-SUM($I42:K$42))))</f>
        <v>0</v>
      </c>
      <c r="M42" s="202">
        <f>IF(M28&lt;$C$42,0,IF(M28=$C$42,$V$25*$E$29*$E$25,IF(((SUM($I42:L$42)+$T$25*$E$29)&lt;$T$25),$T$25*$E$29,$T$25-SUM($I42:L$42))))</f>
        <v>0</v>
      </c>
      <c r="N42" s="202">
        <f>IF(N28&lt;$C$42,0,IF(N28=$C$42,$V$25*$E$29*$E$25,IF(((SUM($I42:M$42)+$T$25*$E$29)&lt;$T$25),$T$25*$E$29,$T$25-SUM($I42:M$42))))</f>
        <v>0</v>
      </c>
      <c r="O42" s="202">
        <f>IF(O28&lt;$C$42,0,IF(O28=$C$42,$V$25*$E$29*$E$25,IF(((SUM($I42:N$42)+$T$25*$E$29)&lt;$T$25),$T$25*$E$29,$T$25-SUM($I42:N$42))))</f>
        <v>0</v>
      </c>
      <c r="P42" s="202">
        <f>IF(P28&lt;$C$42,0,IF(P28=$C$42,$V$25*$E$29*$E$25,IF(((SUM($I42:O$42)+$T$25*$E$29)&lt;$T$25),$T$25*$E$29,$T$25-SUM($I42:O$42))))</f>
        <v>0</v>
      </c>
      <c r="Q42" s="202">
        <f>IF(Q28&lt;$C$42,0,IF(Q28=$C$42,$V$25*$E$29*$E$25,IF(((SUM($I42:P$42)+$T$25*$E$29)&lt;$T$25),$T$25*$E$29,$T$25-SUM($I42:P$42))))</f>
        <v>0</v>
      </c>
      <c r="R42" s="202">
        <f>IF(R28&lt;$C$42,0,IF(R28=$C$42,$V$25*$E$29*$E$25,IF(((SUM($I42:Q$42)+$T$25*$E$29)&lt;$T$25),$T$25*$E$29,$T$25-SUM($I42:Q$42))))</f>
        <v>0</v>
      </c>
      <c r="S42" s="202">
        <f>IF(S28&lt;$C$42,0,IF(S28=$C$42,$V$25*$E$29*$E$25,IF(((SUM($I42:R$42)+$T$25*$E$29)&lt;$T$25),$T$25*$E$29,$T$25-SUM($I42:R$42))))</f>
        <v>0</v>
      </c>
      <c r="T42" s="202">
        <f>IF(T28&lt;$C$42,0,IF(T28=$C$42,$V$25*$E$29*$E$25,IF(((SUM($I42:S$42)+$T$25*$E$29)&lt;$T$25),$T$25*$E$29,$T$25-SUM($I42:S$42))))</f>
        <v>0</v>
      </c>
      <c r="U42" s="202">
        <f>IF(U28&lt;$C$42,0,IF(U28=$C$42,$V$25*$E$29*$E$25,IF(((SUM($I42:T$42)+$T$25*$E$29)&lt;$T$25),$T$25*$E$29,$T$25-SUM($I42:T$42))))</f>
        <v>0</v>
      </c>
      <c r="V42" s="202">
        <f>IF(V28&lt;$C$42,0,IF(V28=$C$42,$V$25*$E$29*$E$25,IF(((SUM($I42:U$42)+$T$25*$E$29)&lt;$T$25),$T$25*$E$29,$T$25-SUM($I42:U$42))))</f>
        <v>0</v>
      </c>
      <c r="W42" s="202"/>
      <c r="X42" s="210">
        <f>SUM(J42:V42)</f>
        <v>0</v>
      </c>
    </row>
    <row r="43" spans="3:24" x14ac:dyDescent="0.25">
      <c r="C43" s="9"/>
      <c r="D43" s="206"/>
      <c r="E43" s="206"/>
      <c r="F43" s="206"/>
      <c r="G43" s="206"/>
      <c r="H43" s="206"/>
      <c r="I43" s="208"/>
      <c r="J43" s="202"/>
      <c r="K43" s="202"/>
      <c r="L43" s="202"/>
      <c r="M43" s="202"/>
      <c r="N43" s="202"/>
      <c r="O43" s="202"/>
      <c r="P43" s="202"/>
      <c r="Q43" s="202"/>
      <c r="R43" s="202"/>
      <c r="S43" s="202"/>
      <c r="T43" s="202"/>
      <c r="U43" s="202"/>
      <c r="V43" s="202"/>
      <c r="W43" s="202"/>
      <c r="X43" s="210"/>
    </row>
    <row r="44" spans="3:24" x14ac:dyDescent="0.25">
      <c r="C44" s="9"/>
      <c r="D44" s="206"/>
      <c r="E44" s="206"/>
      <c r="F44" s="206"/>
      <c r="G44" s="206"/>
      <c r="H44" s="206"/>
      <c r="I44" s="206"/>
      <c r="J44" s="202"/>
      <c r="K44" s="202"/>
      <c r="L44" s="202"/>
      <c r="M44" s="202"/>
      <c r="N44" s="202"/>
      <c r="O44" s="202"/>
      <c r="P44" s="202"/>
      <c r="Q44" s="202"/>
      <c r="R44" s="202"/>
      <c r="S44" s="202"/>
      <c r="T44" s="202"/>
      <c r="U44" s="202"/>
      <c r="V44" s="202"/>
      <c r="W44" s="202"/>
      <c r="X44" s="210"/>
    </row>
    <row r="45" spans="3:24" ht="16.5" thickBot="1" x14ac:dyDescent="0.3">
      <c r="C45" s="215" t="s">
        <v>225</v>
      </c>
      <c r="D45" s="212"/>
      <c r="E45" s="212"/>
      <c r="F45" s="212"/>
      <c r="G45" s="212"/>
      <c r="H45" s="212"/>
      <c r="I45" s="213"/>
      <c r="J45" s="213">
        <f>SUM(J29:J42)</f>
        <v>0</v>
      </c>
      <c r="K45" s="213">
        <f t="shared" ref="K45:V45" si="16">SUM(K29:K42)</f>
        <v>0</v>
      </c>
      <c r="L45" s="213">
        <f t="shared" si="16"/>
        <v>0</v>
      </c>
      <c r="M45" s="213">
        <f t="shared" si="16"/>
        <v>0</v>
      </c>
      <c r="N45" s="213">
        <f t="shared" si="16"/>
        <v>0</v>
      </c>
      <c r="O45" s="213">
        <f t="shared" si="16"/>
        <v>0</v>
      </c>
      <c r="P45" s="213">
        <f t="shared" si="16"/>
        <v>0</v>
      </c>
      <c r="Q45" s="213">
        <f t="shared" si="16"/>
        <v>0</v>
      </c>
      <c r="R45" s="213">
        <f t="shared" si="16"/>
        <v>0</v>
      </c>
      <c r="S45" s="213">
        <f t="shared" si="16"/>
        <v>0</v>
      </c>
      <c r="T45" s="213">
        <f t="shared" si="16"/>
        <v>0</v>
      </c>
      <c r="U45" s="213">
        <f t="shared" si="16"/>
        <v>0</v>
      </c>
      <c r="V45" s="213">
        <f t="shared" si="16"/>
        <v>0</v>
      </c>
      <c r="W45" s="213"/>
      <c r="X45" s="214">
        <f>SUM(J45:V45)</f>
        <v>0</v>
      </c>
    </row>
    <row r="46" spans="3:24" ht="16.5" thickBot="1" x14ac:dyDescent="0.3"/>
    <row r="47" spans="3:24" x14ac:dyDescent="0.25">
      <c r="C47" s="22" t="s">
        <v>298</v>
      </c>
      <c r="D47" s="34"/>
      <c r="E47" s="34"/>
      <c r="F47" s="34"/>
      <c r="G47" s="34"/>
      <c r="H47" s="34"/>
      <c r="I47" s="34"/>
      <c r="J47" s="34">
        <f>הנחות!F6</f>
        <v>43983</v>
      </c>
      <c r="K47" s="34">
        <f>EDATE(J47,1)</f>
        <v>44013</v>
      </c>
      <c r="L47" s="34">
        <f t="shared" ref="L47:V47" si="17">EDATE(K47,1)</f>
        <v>44044</v>
      </c>
      <c r="M47" s="34">
        <f t="shared" si="17"/>
        <v>44075</v>
      </c>
      <c r="N47" s="34">
        <f t="shared" si="17"/>
        <v>44105</v>
      </c>
      <c r="O47" s="34">
        <f t="shared" si="17"/>
        <v>44136</v>
      </c>
      <c r="P47" s="34">
        <f t="shared" si="17"/>
        <v>44166</v>
      </c>
      <c r="Q47" s="34">
        <f t="shared" si="17"/>
        <v>44197</v>
      </c>
      <c r="R47" s="34">
        <f t="shared" si="17"/>
        <v>44228</v>
      </c>
      <c r="S47" s="34">
        <f t="shared" si="17"/>
        <v>44256</v>
      </c>
      <c r="T47" s="34">
        <f t="shared" si="17"/>
        <v>44287</v>
      </c>
      <c r="U47" s="34">
        <f t="shared" si="17"/>
        <v>44317</v>
      </c>
      <c r="V47" s="34">
        <f t="shared" si="17"/>
        <v>44348</v>
      </c>
      <c r="W47" s="34"/>
      <c r="X47" s="20" t="s">
        <v>23</v>
      </c>
    </row>
    <row r="48" spans="3:24" x14ac:dyDescent="0.25">
      <c r="C48" s="9"/>
      <c r="D48" s="206">
        <f>הנחות!S59</f>
        <v>0</v>
      </c>
      <c r="E48" s="207">
        <f>IFERROR(1/D48,0)</f>
        <v>0</v>
      </c>
      <c r="F48" s="206"/>
      <c r="I48" s="208"/>
      <c r="J48" s="208"/>
      <c r="K48" s="208"/>
      <c r="L48" s="208"/>
      <c r="M48" s="208"/>
      <c r="N48" s="208"/>
      <c r="O48" s="208"/>
      <c r="P48" s="208"/>
      <c r="Q48" s="208"/>
      <c r="R48" s="208"/>
      <c r="S48" s="208"/>
      <c r="T48" s="208"/>
      <c r="U48" s="208"/>
      <c r="V48" s="208"/>
      <c r="W48" s="208"/>
      <c r="X48" s="209"/>
    </row>
    <row r="49" spans="3:24" x14ac:dyDescent="0.25">
      <c r="C49" s="174">
        <f t="array" ref="C49:C61">TRANSPOSE(J47:V47)</f>
        <v>43983</v>
      </c>
      <c r="D49" s="206"/>
      <c r="E49" s="206"/>
      <c r="F49" s="206"/>
      <c r="G49" s="206"/>
      <c r="H49" s="206"/>
      <c r="I49" s="208"/>
      <c r="J49" s="202">
        <f>IF(J47&lt;$C$49,0,IF(J47=$C$49,$J$22*$E$48*$E$25,IF(((SUM($I$49:I49)+$J$22*$E$48)&lt;$J$22),$J$22*$E$48,$J$22-SUM($I$49:I49))))</f>
        <v>0</v>
      </c>
      <c r="K49" s="202">
        <f>IF(K47&lt;$C$49,0,IF(K47=$C$49,$J$22*$E$48*$E$25,IF(((SUM($I$49:J49)+$J$22*$E$48)&lt;$J$22),$J$22*$E$48,$J$22-SUM($I$49:J49))))</f>
        <v>0</v>
      </c>
      <c r="L49" s="202">
        <f>IF(L47&lt;$C$49,0,IF(L47=$C$49,$J$22*$E$48*$E$25,IF(((SUM($I$49:K49)+$J$22*$E$48)&lt;$J$22),$J$22*$E$48,$J$22-SUM($I$49:K49))))</f>
        <v>0</v>
      </c>
      <c r="M49" s="202">
        <f>IF(M47&lt;$C$49,0,IF(M47=$C$49,$J$22*$E$48*$E$25,IF(((SUM($I$49:L49)+$J$22*$E$48)&lt;$J$22),$J$22*$E$48,$J$22-SUM($I$49:L49))))</f>
        <v>0</v>
      </c>
      <c r="N49" s="202">
        <f>IF(N47&lt;$C$49,0,IF(N47=$C$49,$J$22*$E$48*$E$25,IF(((SUM($I$49:M49)+$J$22*$E$48)&lt;$J$22),$J$22*$E$48,$J$22-SUM($I$49:M49))))</f>
        <v>0</v>
      </c>
      <c r="O49" s="202">
        <f>IF(O47&lt;$C$49,0,IF(O47=$C$49,$J$22*$E$48*$E$25,IF(((SUM($I$49:N49)+$J$22*$E$48)&lt;$J$22),$J$22*$E$48,$J$22-SUM($I$49:N49))))</f>
        <v>0</v>
      </c>
      <c r="P49" s="202">
        <f>IF(P47&lt;$C$49,0,IF(P47=$C$49,$J$22*$E$48*$E$25,IF(((SUM($I$49:O49)+$J$22*$E$48)&lt;$J$22),$J$22*$E$48,$J$22-SUM($I$49:O49))))</f>
        <v>0</v>
      </c>
      <c r="Q49" s="202">
        <f>IF(Q47&lt;$C$49,0,IF(Q47=$C$49,$J$22*$E$48*$E$25,IF(((SUM($I$49:P49)+$J$22*$E$48)&lt;$J$22),$J$22*$E$48,$J$22-SUM($I$49:P49))))</f>
        <v>0</v>
      </c>
      <c r="R49" s="202">
        <f>IF(R47&lt;$C$49,0,IF(R47=$C$49,$J$22*$E$48*$E$25,IF(((SUM($I$49:Q49)+$J$22*$E$48)&lt;$J$22),$J$22*$E$48,$J$22-SUM($I$49:Q49))))</f>
        <v>0</v>
      </c>
      <c r="S49" s="202">
        <f>IF(S47&lt;$C$49,0,IF(S47=$C$49,$J$22*$E$48*$E$25,IF(((SUM($I$49:R49)+$J$22*$E$48)&lt;$J$22),$J$22*$E$48,$J$22-SUM($I$49:R49))))</f>
        <v>0</v>
      </c>
      <c r="T49" s="202">
        <f>IF(T47&lt;$C$49,0,IF(T47=$C$49,$J$22*$E$48*$E$25,IF(((SUM($I$49:S49)+$J$22*$E$48)&lt;$J$22),$J$22*$E$48,$J$22-SUM($I$49:S49))))</f>
        <v>0</v>
      </c>
      <c r="U49" s="202">
        <f>IF(U47&lt;$C$49,0,IF(U47=$C$49,$J$22*$E$48*$E$25,IF(((SUM($I$49:T49)+$J$22*$E$48)&lt;$J$22),$J$22*$E$48,$J$22-SUM($I$49:T49))))</f>
        <v>0</v>
      </c>
      <c r="V49" s="202">
        <f>IF(V47&lt;$C$49,0,IF(V47=$C$49,$J$22*$E$48*$E$25,IF(((SUM($I$49:U49)+$J$22*$E$48)&lt;$J$22),$J$22*$E$48,$J$22-SUM($I$49:U49))))</f>
        <v>0</v>
      </c>
      <c r="W49" s="202"/>
      <c r="X49" s="210">
        <f>SUM(J49:V49)</f>
        <v>0</v>
      </c>
    </row>
    <row r="50" spans="3:24" x14ac:dyDescent="0.25">
      <c r="C50" s="174">
        <v>44013</v>
      </c>
      <c r="D50" s="206"/>
      <c r="E50" s="206"/>
      <c r="F50" s="206"/>
      <c r="G50" s="206"/>
      <c r="H50" s="206"/>
      <c r="I50" s="208"/>
      <c r="J50" s="202">
        <f>IF(J47&lt;$C$50,0,IF(J47=$C$50,$K$22*$E$48*$E$25,IF(((SUM($I$50:I50)+$K$22*$E$48)&lt;$K$22),$K$22*$E$48,$K$22-SUM($I$50:I50))))</f>
        <v>0</v>
      </c>
      <c r="K50" s="202">
        <f>IF(K47&lt;$C$50,0,IF(K47=$C$50,$K$22*$E$48*$E$25,IF(((SUM($I$50:J50)+$K$22*$E$48)&lt;$K$22),$K$22*$E$48,$K$22-SUM($I$50:J50))))</f>
        <v>0</v>
      </c>
      <c r="L50" s="202">
        <f>IF(L47&lt;$C$50,0,IF(L47=$C$50,$K$22*$E$48*$E$25,IF(((SUM($I$50:K50)+$K$22*$E$48)&lt;$K$22),$K$22*$E$48,$K$22-SUM($I$50:K50))))</f>
        <v>0</v>
      </c>
      <c r="M50" s="202">
        <f>IF(M47&lt;$C$50,0,IF(M47=$C$50,$K$22*$E$48*$E$25,IF(((SUM($I$50:L50)+$K$22*$E$48)&lt;$K$22),$K$22*$E$48,$K$22-SUM($I$50:L50))))</f>
        <v>0</v>
      </c>
      <c r="N50" s="202">
        <f>IF(N47&lt;$C$50,0,IF(N47=$C$50,$K$22*$E$48*$E$25,IF(((SUM($I$50:M50)+$K$22*$E$48)&lt;$K$22),$K$22*$E$48,$K$22-SUM($I$50:M50))))</f>
        <v>0</v>
      </c>
      <c r="O50" s="202">
        <f>IF(O47&lt;$C$50,0,IF(O47=$C$50,$K$22*$E$48*$E$25,IF(((SUM($I$50:N50)+$K$22*$E$48)&lt;$K$22),$K$22*$E$48,$K$22-SUM($I$50:N50))))</f>
        <v>0</v>
      </c>
      <c r="P50" s="202">
        <f>IF(P47&lt;$C$50,0,IF(P47=$C$50,$K$22*$E$48*$E$25,IF(((SUM($I$50:O50)+$K$22*$E$48)&lt;$K$22),$K$22*$E$48,$K$22-SUM($I$50:O50))))</f>
        <v>0</v>
      </c>
      <c r="Q50" s="202">
        <f>IF(Q47&lt;$C$50,0,IF(Q47=$C$50,$K$22*$E$48*$E$25,IF(((SUM($I$50:P50)+$K$22*$E$48)&lt;$K$22),$K$22*$E$48,$K$22-SUM($I$50:P50))))</f>
        <v>0</v>
      </c>
      <c r="R50" s="202">
        <f>IF(R47&lt;$C$50,0,IF(R47=$C$50,$K$22*$E$48*$E$25,IF(((SUM($I$50:Q50)+$K$22*$E$48)&lt;$K$22),$K$22*$E$48,$K$22-SUM($I$50:Q50))))</f>
        <v>0</v>
      </c>
      <c r="S50" s="202">
        <f>IF(S47&lt;$C$50,0,IF(S47=$C$50,$K$22*$E$48*$E$25,IF(((SUM($I$50:R50)+$K$22*$E$48)&lt;$K$22),$K$22*$E$48,$K$22-SUM($I$50:R50))))</f>
        <v>0</v>
      </c>
      <c r="T50" s="202">
        <f>IF(T47&lt;$C$50,0,IF(T47=$C$50,$K$22*$E$48*$E$25,IF(((SUM($I$50:S50)+$K$22*$E$48)&lt;$K$22),$K$22*$E$48,$K$22-SUM($I$50:S50))))</f>
        <v>0</v>
      </c>
      <c r="U50" s="202">
        <f>IF(U47&lt;$C$50,0,IF(U47=$C$50,$K$22*$E$48*$E$25,IF(((SUM($I$50:T50)+$K$22*$E$48)&lt;$K$22),$K$22*$E$48,$K$22-SUM($I$50:T50))))</f>
        <v>0</v>
      </c>
      <c r="V50" s="202">
        <f>IF(V47&lt;$C$50,0,IF(V47=$C$50,$K$22*$E$48*$E$25,IF(((SUM($I$50:U50)+$K$22*$E$48)&lt;$K$22),$K$22*$E$48,$K$22-SUM($I$50:U50))))</f>
        <v>0</v>
      </c>
      <c r="W50" s="202"/>
      <c r="X50" s="210">
        <f t="shared" ref="X50:X60" si="18">SUM(J50:V50)</f>
        <v>0</v>
      </c>
    </row>
    <row r="51" spans="3:24" x14ac:dyDescent="0.25">
      <c r="C51" s="174">
        <v>44044</v>
      </c>
      <c r="D51" s="206"/>
      <c r="E51" s="206"/>
      <c r="F51" s="206"/>
      <c r="G51" s="206"/>
      <c r="H51" s="206"/>
      <c r="I51" s="208"/>
      <c r="J51" s="202">
        <f>IF(J47&lt;$C$51,0,IF(J47=$C$51,$L$22*$E$48*$E$25,IF(((SUM($I$51:I51)+$L$22*$E$48)&lt;$L$22),$L$22*$E$48,$L$22-SUM($I$51:I51))))</f>
        <v>0</v>
      </c>
      <c r="K51" s="202">
        <f>IF(K47&lt;$C$51,0,IF(K47=$C$51,$L$22*$E$48*$E$25,IF(((SUM($I$51:J51)+$L$22*$E$48)&lt;$L$22),$L$22*$E$48,$L$22-SUM($I$51:J51))))</f>
        <v>0</v>
      </c>
      <c r="L51" s="202">
        <f>IF(L47&lt;$C$51,0,IF(L47=$C$51,$L$22*$E$48*$E$25,IF(((SUM($I$51:K51)+$L$22*$E$48)&lt;$L$22),$L$22*$E$48,$L$22-SUM($I$51:K51))))</f>
        <v>0</v>
      </c>
      <c r="M51" s="202">
        <f>IF(M47&lt;$C$51,0,IF(M47=$C$51,$L$22*$E$48*$E$25,IF(((SUM($I$51:L51)+$L$22*$E$48)&lt;$L$22),$L$22*$E$48,$L$22-SUM($I$51:L51))))</f>
        <v>0</v>
      </c>
      <c r="N51" s="202">
        <f>IF(N47&lt;$C$51,0,IF(N47=$C$51,$L$22*$E$48*$E$25,IF(((SUM($I$51:M51)+$L$22*$E$48)&lt;$L$22),$L$22*$E$48,$L$22-SUM($I$51:M51))))</f>
        <v>0</v>
      </c>
      <c r="O51" s="202">
        <f>IF(O47&lt;$C$51,0,IF(O47=$C$51,$L$22*$E$48*$E$25,IF(((SUM($I$51:N51)+$L$22*$E$48)&lt;$L$22),$L$22*$E$48,$L$22-SUM($I$51:N51))))</f>
        <v>0</v>
      </c>
      <c r="P51" s="202">
        <f>IF(P47&lt;$C$51,0,IF(P47=$C$51,$L$22*$E$48*$E$25,IF(((SUM($I$51:O51)+$L$22*$E$48)&lt;$L$22),$L$22*$E$48,$L$22-SUM($I$51:O51))))</f>
        <v>0</v>
      </c>
      <c r="Q51" s="202">
        <f>IF(Q47&lt;$C$51,0,IF(Q47=$C$51,$L$22*$E$48*$E$25,IF(((SUM($I$51:P51)+$L$22*$E$48)&lt;$L$22),$L$22*$E$48,$L$22-SUM($I$51:P51))))</f>
        <v>0</v>
      </c>
      <c r="R51" s="202">
        <f>IF(R47&lt;$C$51,0,IF(R47=$C$51,$L$22*$E$48*$E$25,IF(((SUM($I$51:Q51)+$L$22*$E$48)&lt;$L$22),$L$22*$E$48,$L$22-SUM($I$51:Q51))))</f>
        <v>0</v>
      </c>
      <c r="S51" s="202">
        <f>IF(S47&lt;$C$51,0,IF(S47=$C$51,$L$22*$E$48*$E$25,IF(((SUM($I$51:R51)+$L$22*$E$48)&lt;$L$22),$L$22*$E$48,$L$22-SUM($I$51:R51))))</f>
        <v>0</v>
      </c>
      <c r="T51" s="202">
        <f>IF(T47&lt;$C$51,0,IF(T47=$C$51,$L$22*$E$48*$E$25,IF(((SUM($I$51:S51)+$L$22*$E$48)&lt;$L$22),$L$22*$E$48,$L$22-SUM($I$51:S51))))</f>
        <v>0</v>
      </c>
      <c r="U51" s="202">
        <f>IF(U47&lt;$C$51,0,IF(U47=$C$51,$L$22*$E$48*$E$25,IF(((SUM($I$51:T51)+$L$22*$E$48)&lt;$L$22),$L$22*$E$48,$L$22-SUM($I$51:T51))))</f>
        <v>0</v>
      </c>
      <c r="V51" s="202">
        <f>IF(V47&lt;$C$51,0,IF(V47=$C$51,$L$22*$E$48*$E$25,IF(((SUM($I$51:U51)+$L$22*$E$48)&lt;$L$22),$L$22*$E$48,$L$22-SUM($I$51:U51))))</f>
        <v>0</v>
      </c>
      <c r="W51" s="202"/>
      <c r="X51" s="210">
        <f t="shared" si="18"/>
        <v>0</v>
      </c>
    </row>
    <row r="52" spans="3:24" x14ac:dyDescent="0.25">
      <c r="C52" s="174">
        <v>44075</v>
      </c>
      <c r="D52" s="206"/>
      <c r="E52" s="206"/>
      <c r="F52" s="206"/>
      <c r="G52" s="206"/>
      <c r="H52" s="206"/>
      <c r="I52" s="208"/>
      <c r="J52" s="202">
        <f>IF(J47&lt;$C$52,0,IF(J47=$C$52,$M$22*$E$48*$E$25,IF(((SUM($I$52:I52)+$M$22*$E$48)&lt;$M$22),$M$22*$E$48,$M$22-SUM($I$52:I52))))</f>
        <v>0</v>
      </c>
      <c r="K52" s="202">
        <f>IF(K47&lt;$C$52,0,IF(K47=$C$52,$M$22*$E$48*$E$25,IF(((SUM($I$52:J52)+$M$22*$E$48)&lt;$M$22),$M$22*$E$48,$M$22-SUM($I$52:J52))))</f>
        <v>0</v>
      </c>
      <c r="L52" s="202">
        <f>IF(L47&lt;$C$52,0,IF(L47=$C$52,$M$22*$E$48*$E$25,IF(((SUM($I$52:K52)+$M$22*$E$48)&lt;$M$22),$M$22*$E$48,$M$22-SUM($I$52:K52))))</f>
        <v>0</v>
      </c>
      <c r="M52" s="202">
        <f>IF(M47&lt;$C$52,0,IF(M47=$C$52,$M$22*$E$48*$E$25,IF(((SUM($I$52:L52)+$M$22*$E$48)&lt;$M$22),$M$22*$E$48,$M$22-SUM($I$52:L52))))</f>
        <v>0</v>
      </c>
      <c r="N52" s="202">
        <f>IF(N47&lt;$C$52,0,IF(N47=$C$52,$M$22*$E$48*$E$25,IF(((SUM($I$52:M52)+$M$22*$E$48)&lt;$M$22),$M$22*$E$48,$M$22-SUM($I$52:M52))))</f>
        <v>0</v>
      </c>
      <c r="O52" s="202">
        <f>IF(O47&lt;$C$52,0,IF(O47=$C$52,$M$22*$E$48*$E$25,IF(((SUM($I$52:N52)+$M$22*$E$48)&lt;$M$22),$M$22*$E$48,$M$22-SUM($I$52:N52))))</f>
        <v>0</v>
      </c>
      <c r="P52" s="202">
        <f>IF(P47&lt;$C$52,0,IF(P47=$C$52,$M$22*$E$48*$E$25,IF(((SUM($I$52:O52)+$M$22*$E$48)&lt;$M$22),$M$22*$E$48,$M$22-SUM($I$52:O52))))</f>
        <v>0</v>
      </c>
      <c r="Q52" s="202">
        <f>IF(Q47&lt;$C$52,0,IF(Q47=$C$52,$M$22*$E$48*$E$25,IF(((SUM($I$52:P52)+$M$22*$E$48)&lt;$M$22),$M$22*$E$48,$M$22-SUM($I$52:P52))))</f>
        <v>0</v>
      </c>
      <c r="R52" s="202">
        <f>IF(R47&lt;$C$52,0,IF(R47=$C$52,$M$22*$E$48*$E$25,IF(((SUM($I$52:Q52)+$M$22*$E$48)&lt;$M$22),$M$22*$E$48,$M$22-SUM($I$52:Q52))))</f>
        <v>0</v>
      </c>
      <c r="S52" s="202">
        <f>IF(S47&lt;$C$52,0,IF(S47=$C$52,$M$22*$E$48*$E$25,IF(((SUM($I$52:R52)+$M$22*$E$48)&lt;$M$22),$M$22*$E$48,$M$22-SUM($I$52:R52))))</f>
        <v>0</v>
      </c>
      <c r="T52" s="202">
        <f>IF(T47&lt;$C$52,0,IF(T47=$C$52,$M$22*$E$48*$E$25,IF(((SUM($I$52:S52)+$M$22*$E$48)&lt;$M$22),$M$22*$E$48,$M$22-SUM($I$52:S52))))</f>
        <v>0</v>
      </c>
      <c r="U52" s="202">
        <f>IF(U47&lt;$C$52,0,IF(U47=$C$52,$M$22*$E$48*$E$25,IF(((SUM($I$52:T52)+$M$22*$E$48)&lt;$M$22),$M$22*$E$48,$M$22-SUM($I$52:T52))))</f>
        <v>0</v>
      </c>
      <c r="V52" s="202">
        <f>IF(V47&lt;$C$52,0,IF(V47=$C$52,$M$22*$E$48*$E$25,IF(((SUM($I$52:U52)+$M$22*$E$48)&lt;$M$22),$M$22*$E$48,$M$22-SUM($I$52:U52))))</f>
        <v>0</v>
      </c>
      <c r="W52" s="202"/>
      <c r="X52" s="210">
        <f t="shared" si="18"/>
        <v>0</v>
      </c>
    </row>
    <row r="53" spans="3:24" x14ac:dyDescent="0.25">
      <c r="C53" s="174">
        <v>44105</v>
      </c>
      <c r="D53" s="206"/>
      <c r="E53" s="206"/>
      <c r="F53" s="206"/>
      <c r="G53" s="206"/>
      <c r="H53" s="206"/>
      <c r="I53" s="208"/>
      <c r="J53" s="202">
        <f>IF(J47&lt;$C$53,0,IF(J47=$C$53,$N$22*$E$48*$E$25,IF(((SUM($I$53:I53)+$N$22*$E$48)&lt;$N$22),$N$22*$E$48,$N$22-SUM($I$53:I53))))</f>
        <v>0</v>
      </c>
      <c r="K53" s="202">
        <f>IF(K47&lt;$C$53,0,IF(K47=$C$53,$N$22*$E$48*$E$25,IF(((SUM($I$53:J53)+$N$22*$E$48)&lt;$N$22),$N$22*$E$48,$N$22-SUM($I$53:J53))))</f>
        <v>0</v>
      </c>
      <c r="L53" s="202">
        <f>IF(L47&lt;$C$53,0,IF(L47=$C$53,$N$22*$E$48*$E$25,IF(((SUM($I$53:K53)+$N$22*$E$48)&lt;$N$22),$N$22*$E$48,$N$22-SUM($I$53:K53))))</f>
        <v>0</v>
      </c>
      <c r="M53" s="202">
        <f>IF(M47&lt;$C$53,0,IF(M47=$C$53,$N$22*$E$48*$E$25,IF(((SUM($I$53:L53)+$N$22*$E$48)&lt;$N$22),$N$22*$E$48,$N$22-SUM($I$53:L53))))</f>
        <v>0</v>
      </c>
      <c r="N53" s="202">
        <f>IF(N47&lt;$C$53,0,IF(N47=$C$53,$N$22*$E$48*$E$25,IF(((SUM($I$53:M53)+$N$22*$E$48)&lt;$N$22),$N$22*$E$48,$N$22-SUM($I$53:M53))))</f>
        <v>0</v>
      </c>
      <c r="O53" s="202">
        <f>IF(O47&lt;$C$53,0,IF(O47=$C$53,$N$22*$E$48*$E$25,IF(((SUM($I$53:N53)+$N$22*$E$48)&lt;$N$22),$N$22*$E$48,$N$22-SUM($I$53:N53))))</f>
        <v>0</v>
      </c>
      <c r="P53" s="202">
        <f>IF(P47&lt;$C$53,0,IF(P47=$C$53,$N$22*$E$48*$E$25,IF(((SUM($I$53:O53)+$N$22*$E$48)&lt;$N$22),$N$22*$E$48,$N$22-SUM($I$53:O53))))</f>
        <v>0</v>
      </c>
      <c r="Q53" s="202">
        <f>IF(Q47&lt;$C$53,0,IF(Q47=$C$53,$N$22*$E$48*$E$25,IF(((SUM($I$53:P53)+$N$22*$E$48)&lt;$N$22),$N$22*$E$48,$N$22-SUM($I$53:P53))))</f>
        <v>0</v>
      </c>
      <c r="R53" s="202">
        <f>IF(R47&lt;$C$53,0,IF(R47=$C$53,$N$22*$E$48*$E$25,IF(((SUM($I$53:Q53)+$N$22*$E$48)&lt;$N$22),$N$22*$E$48,$N$22-SUM($I$53:Q53))))</f>
        <v>0</v>
      </c>
      <c r="S53" s="202">
        <f>IF(S47&lt;$C$53,0,IF(S47=$C$53,$N$22*$E$48*$E$25,IF(((SUM($I$53:R53)+$N$22*$E$48)&lt;$N$22),$N$22*$E$48,$N$22-SUM($I$53:R53))))</f>
        <v>0</v>
      </c>
      <c r="T53" s="202">
        <f>IF(T47&lt;$C$53,0,IF(T47=$C$53,$N$22*$E$48*$E$25,IF(((SUM($I$53:S53)+$N$22*$E$48)&lt;$N$22),$N$22*$E$48,$N$22-SUM($I$53:S53))))</f>
        <v>0</v>
      </c>
      <c r="U53" s="202">
        <f>IF(U47&lt;$C$53,0,IF(U47=$C$53,$N$22*$E$48*$E$25,IF(((SUM($I$53:T53)+$N$22*$E$48)&lt;$N$22),$N$22*$E$48,$N$22-SUM($I$53:T53))))</f>
        <v>0</v>
      </c>
      <c r="V53" s="202">
        <f>IF(V47&lt;$C$53,0,IF(V47=$C$53,$N$22*$E$48*$E$25,IF(((SUM($I$53:U53)+$N$22*$E$48)&lt;$N$22),$N$22*$E$48,$N$22-SUM($I$53:U53))))</f>
        <v>0</v>
      </c>
      <c r="W53" s="202"/>
      <c r="X53" s="210">
        <f t="shared" si="18"/>
        <v>0</v>
      </c>
    </row>
    <row r="54" spans="3:24" x14ac:dyDescent="0.25">
      <c r="C54" s="174">
        <v>44136</v>
      </c>
      <c r="D54" s="206"/>
      <c r="E54" s="206"/>
      <c r="F54" s="206"/>
      <c r="G54" s="206"/>
      <c r="H54" s="206"/>
      <c r="I54" s="208"/>
      <c r="J54" s="202">
        <f>IF(J47&lt;$C$54,0,IF(J47=$C$54,$O$22*$E$48*$E$25,IF(((SUM($I$54:I54)+$O$22*$E$48)&lt;$O$22),$O$22*$E$48,$O$22-SUM($I$54:I54))))</f>
        <v>0</v>
      </c>
      <c r="K54" s="202">
        <f>IF(K47&lt;$C$54,0,IF(K47=$C$54,$O$22*$E$48*$E$25,IF(((SUM($I$54:J54)+$O$22*$E$48)&lt;$O$22),$O$22*$E$48,$O$22-SUM($I$54:J54))))</f>
        <v>0</v>
      </c>
      <c r="L54" s="202">
        <f>IF(L47&lt;$C$54,0,IF(L47=$C$54,$O$22*$E$48*$E$25,IF(((SUM($I$54:K54)+$O$22*$E$48)&lt;$O$22),$O$22*$E$48,$O$22-SUM($I$54:K54))))</f>
        <v>0</v>
      </c>
      <c r="M54" s="202">
        <f>IF(M47&lt;$C$54,0,IF(M47=$C$54,$O$22*$E$48*$E$25,IF(((SUM($I$54:L54)+$O$22*$E$48)&lt;$O$22),$O$22*$E$48,$O$22-SUM($I$54:L54))))</f>
        <v>0</v>
      </c>
      <c r="N54" s="202">
        <f>IF(N47&lt;$C$54,0,IF(N47=$C$54,$O$22*$E$48*$E$25,IF(((SUM($I$54:M54)+$O$22*$E$48)&lt;$O$22),$O$22*$E$48,$O$22-SUM($I$54:M54))))</f>
        <v>0</v>
      </c>
      <c r="O54" s="202">
        <f>IF(O47&lt;$C$54,0,IF(O47=$C$54,$O$22*$E$48*$E$25,IF(((SUM($I$54:N54)+$O$22*$E$48)&lt;$O$22),$O$22*$E$48,$O$22-SUM($I$54:N54))))</f>
        <v>0</v>
      </c>
      <c r="P54" s="202">
        <f>IF(P47&lt;$C$54,0,IF(P47=$C$54,$O$22*$E$48*$E$25,IF(((SUM($I$54:O54)+$O$22*$E$48)&lt;$O$22),$O$22*$E$48,$O$22-SUM($I$54:O54))))</f>
        <v>0</v>
      </c>
      <c r="Q54" s="202">
        <f>IF(Q47&lt;$C$54,0,IF(Q47=$C$54,$O$22*$E$48*$E$25,IF(((SUM($I$54:P54)+$O$22*$E$48)&lt;$O$22),$O$22*$E$48,$O$22-SUM($I$54:P54))))</f>
        <v>0</v>
      </c>
      <c r="R54" s="202">
        <f>IF(R47&lt;$C$54,0,IF(R47=$C$54,$O$22*$E$48*$E$25,IF(((SUM($I$54:Q54)+$O$22*$E$48)&lt;$O$22),$O$22*$E$48,$O$22-SUM($I$54:Q54))))</f>
        <v>0</v>
      </c>
      <c r="S54" s="202">
        <f>IF(S47&lt;$C$54,0,IF(S47=$C$54,$O$22*$E$48*$E$25,IF(((SUM($I$54:R54)+$O$22*$E$48)&lt;$O$22),$O$22*$E$48,$O$22-SUM($I$54:R54))))</f>
        <v>0</v>
      </c>
      <c r="T54" s="202">
        <f>IF(T47&lt;$C$54,0,IF(T47=$C$54,$O$22*$E$48*$E$25,IF(((SUM($I$54:S54)+$O$22*$E$48)&lt;$O$22),$O$22*$E$48,$O$22-SUM($I$54:S54))))</f>
        <v>0</v>
      </c>
      <c r="U54" s="202">
        <f>IF(U47&lt;$C$54,0,IF(U47=$C$54,$O$22*$E$48*$E$25,IF(((SUM($I$54:T54)+$O$22*$E$48)&lt;$O$22),$O$22*$E$48,$O$22-SUM($I$54:T54))))</f>
        <v>0</v>
      </c>
      <c r="V54" s="202">
        <f>IF(V47&lt;$C$54,0,IF(V47=$C$54,$O$22*$E$48*$E$25,IF(((SUM($I$54:U54)+$O$22*$E$48)&lt;$O$22),$O$22*$E$48,$O$22-SUM($I$54:U54))))</f>
        <v>0</v>
      </c>
      <c r="W54" s="202"/>
      <c r="X54" s="210">
        <f t="shared" si="18"/>
        <v>0</v>
      </c>
    </row>
    <row r="55" spans="3:24" x14ac:dyDescent="0.25">
      <c r="C55" s="174">
        <v>44166</v>
      </c>
      <c r="D55" s="206"/>
      <c r="E55" s="206"/>
      <c r="F55" s="206"/>
      <c r="G55" s="206"/>
      <c r="H55" s="206"/>
      <c r="I55" s="208"/>
      <c r="J55" s="202">
        <f>IF(J47&lt;$C$55,0,IF(J47=$C$55,$P$22*$E$48*$E$25,IF(((SUM($I$55:I55)+$P$22*$E$48)&lt;$P$22),$P$22*$E$48,$P$22-SUM($I$55:I55))))</f>
        <v>0</v>
      </c>
      <c r="K55" s="202">
        <f>IF(K47&lt;$C$55,0,IF(K47=$C$55,$P$22*$E$48*$E$25,IF(((SUM($I$55:J55)+$P$22*$E$48)&lt;$P$22),$P$22*$E$48,$P$22-SUM($I$55:J55))))</f>
        <v>0</v>
      </c>
      <c r="L55" s="202">
        <f>IF(L47&lt;$C$55,0,IF(L47=$C$55,$P$22*$E$48*$E$25,IF(((SUM($I$55:K55)+$P$22*$E$48)&lt;$P$22),$P$22*$E$48,$P$22-SUM($I$55:K55))))</f>
        <v>0</v>
      </c>
      <c r="M55" s="202">
        <f>IF(M47&lt;$C$55,0,IF(M47=$C$55,$P$22*$E$48*$E$25,IF(((SUM($I$55:L55)+$P$22*$E$48)&lt;$P$22),$P$22*$E$48,$P$22-SUM($I$55:L55))))</f>
        <v>0</v>
      </c>
      <c r="N55" s="202">
        <f>IF(N47&lt;$C$55,0,IF(N47=$C$55,$P$22*$E$48*$E$25,IF(((SUM($I$55:M55)+$P$22*$E$48)&lt;$P$22),$P$22*$E$48,$P$22-SUM($I$55:M55))))</f>
        <v>0</v>
      </c>
      <c r="O55" s="202">
        <f>IF(O47&lt;$C$55,0,IF(O47=$C$55,$P$22*$E$48*$E$25,IF(((SUM($I$55:N55)+$P$22*$E$48)&lt;$P$22),$P$22*$E$48,$P$22-SUM($I$55:N55))))</f>
        <v>0</v>
      </c>
      <c r="P55" s="202">
        <f>IF(P47&lt;$C$55,0,IF(P47=$C$55,$P$22*$E$48*$E$25,IF(((SUM($I$55:O55)+$P$22*$E$48)&lt;$P$22),$P$22*$E$48,$P$22-SUM($I$55:O55))))</f>
        <v>0</v>
      </c>
      <c r="Q55" s="202">
        <f>IF(Q47&lt;$C$55,0,IF(Q47=$C$55,$P$22*$E$48*$E$25,IF(((SUM($I$55:P55)+$P$22*$E$48)&lt;$P$22),$P$22*$E$48,$P$22-SUM($I$55:P55))))</f>
        <v>0</v>
      </c>
      <c r="R55" s="202">
        <f>IF(R47&lt;$C$55,0,IF(R47=$C$55,$P$22*$E$48*$E$25,IF(((SUM($I$55:Q55)+$P$22*$E$48)&lt;$P$22),$P$22*$E$48,$P$22-SUM($I$55:Q55))))</f>
        <v>0</v>
      </c>
      <c r="S55" s="202">
        <f>IF(S47&lt;$C$55,0,IF(S47=$C$55,$P$22*$E$48*$E$25,IF(((SUM($I$55:R55)+$P$22*$E$48)&lt;$P$22),$P$22*$E$48,$P$22-SUM($I$55:R55))))</f>
        <v>0</v>
      </c>
      <c r="T55" s="202">
        <f>IF(T47&lt;$C$55,0,IF(T47=$C$55,$P$22*$E$48*$E$25,IF(((SUM($I$55:S55)+$P$22*$E$48)&lt;$P$22),$P$22*$E$48,$P$22-SUM($I$55:S55))))</f>
        <v>0</v>
      </c>
      <c r="U55" s="202">
        <f>IF(U47&lt;$C$55,0,IF(U47=$C$55,$P$22*$E$48*$E$25,IF(((SUM($I$55:T55)+$P$22*$E$48)&lt;$P$22),$P$22*$E$48,$P$22-SUM($I$55:T55))))</f>
        <v>0</v>
      </c>
      <c r="V55" s="202">
        <f>IF(V47&lt;$C$55,0,IF(V47=$C$55,$P$22*$E$48*$E$25,IF(((SUM($I$55:U55)+$P$22*$E$48)&lt;$P$22),$P$22*$E$48,$P$22-SUM($I$55:U55))))</f>
        <v>0</v>
      </c>
      <c r="W55" s="202"/>
      <c r="X55" s="210">
        <f t="shared" si="18"/>
        <v>0</v>
      </c>
    </row>
    <row r="56" spans="3:24" x14ac:dyDescent="0.25">
      <c r="C56" s="174">
        <v>44197</v>
      </c>
      <c r="D56" s="206"/>
      <c r="E56" s="206"/>
      <c r="F56" s="206"/>
      <c r="G56" s="206"/>
      <c r="H56" s="206"/>
      <c r="I56" s="208"/>
      <c r="J56" s="202">
        <f>IF(J47&lt;$C$56,0,IF(J47=$C$56,$Q$22*$E$48*$E$25,IF(((SUM($I$56:I56)+$Q$22*$E$48)&lt;$Q$22),$Q$22*$E$48,$Q$22-SUM($I$56:I56))))</f>
        <v>0</v>
      </c>
      <c r="K56" s="202">
        <f>IF(K47&lt;$C$56,0,IF(K47=$C$56,$Q$22*$E$48*$E$25,IF(((SUM($I$56:J56)+$Q$22*$E$48)&lt;$Q$22),$Q$22*$E$48,$Q$22-SUM($I$56:J56))))</f>
        <v>0</v>
      </c>
      <c r="L56" s="202">
        <f>IF(L47&lt;$C$56,0,IF(L47=$C$56,$Q$22*$E$48*$E$25,IF(((SUM($I$56:K56)+$Q$22*$E$48)&lt;$Q$22),$Q$22*$E$48,$Q$22-SUM($I$56:K56))))</f>
        <v>0</v>
      </c>
      <c r="M56" s="202">
        <f>IF(M47&lt;$C$56,0,IF(M47=$C$56,$Q$22*$E$48*$E$25,IF(((SUM($I$56:L56)+$Q$22*$E$48)&lt;$Q$22),$Q$22*$E$48,$Q$22-SUM($I$56:L56))))</f>
        <v>0</v>
      </c>
      <c r="N56" s="202">
        <f>IF(N47&lt;$C$56,0,IF(N47=$C$56,$Q$22*$E$48*$E$25,IF(((SUM($I$56:M56)+$Q$22*$E$48)&lt;$Q$22),$Q$22*$E$48,$Q$22-SUM($I$56:M56))))</f>
        <v>0</v>
      </c>
      <c r="O56" s="202">
        <f>IF(O47&lt;$C$56,0,IF(O47=$C$56,$Q$22*$E$48*$E$25,IF(((SUM($I$56:N56)+$Q$22*$E$48)&lt;$Q$22),$Q$22*$E$48,$Q$22-SUM($I$56:N56))))</f>
        <v>0</v>
      </c>
      <c r="P56" s="202">
        <f>IF(P47&lt;$C$56,0,IF(P47=$C$56,$Q$22*$E$48*$E$25,IF(((SUM($I$56:O56)+$Q$22*$E$48)&lt;$Q$22),$Q$22*$E$48,$Q$22-SUM($I$56:O56))))</f>
        <v>0</v>
      </c>
      <c r="Q56" s="202">
        <f>IF(Q47&lt;$C$56,0,IF(Q47=$C$56,$Q$22*$E$48*$E$25,IF(((SUM($I$56:P56)+$Q$22*$E$48)&lt;$Q$22),$Q$22*$E$48,$Q$22-SUM($I$56:P56))))</f>
        <v>0</v>
      </c>
      <c r="R56" s="202">
        <f>IF(R47&lt;$C$56,0,IF(R47=$C$56,$Q$22*$E$48*$E$25,IF(((SUM($I$56:Q56)+$Q$22*$E$48)&lt;$Q$22),$Q$22*$E$48,$Q$22-SUM($I$56:Q56))))</f>
        <v>0</v>
      </c>
      <c r="S56" s="202">
        <f>IF(S47&lt;$C$56,0,IF(S47=$C$56,$Q$22*$E$48*$E$25,IF(((SUM($I$56:R56)+$Q$22*$E$48)&lt;$Q$22),$Q$22*$E$48,$Q$22-SUM($I$56:R56))))</f>
        <v>0</v>
      </c>
      <c r="T56" s="202">
        <f>IF(T47&lt;$C$56,0,IF(T47=$C$56,$Q$22*$E$48*$E$25,IF(((SUM($I$56:S56)+$Q$22*$E$48)&lt;$Q$22),$Q$22*$E$48,$Q$22-SUM($I$56:S56))))</f>
        <v>0</v>
      </c>
      <c r="U56" s="202">
        <f>IF(U47&lt;$C$56,0,IF(U47=$C$56,$Q$22*$E$48*$E$25,IF(((SUM($I$56:T56)+$Q$22*$E$48)&lt;$Q$22),$Q$22*$E$48,$Q$22-SUM($I$56:T56))))</f>
        <v>0</v>
      </c>
      <c r="V56" s="202">
        <f>IF(V47&lt;$C$56,0,IF(V47=$C$56,$Q$22*$E$48*$E$25,IF(((SUM($I$56:U56)+$Q$22*$E$48)&lt;$Q$22),$Q$22*$E$48,$Q$22-SUM($I$56:U56))))</f>
        <v>0</v>
      </c>
      <c r="W56" s="202"/>
      <c r="X56" s="210">
        <f t="shared" si="18"/>
        <v>0</v>
      </c>
    </row>
    <row r="57" spans="3:24" x14ac:dyDescent="0.25">
      <c r="C57" s="174">
        <v>44228</v>
      </c>
      <c r="D57" s="206"/>
      <c r="E57" s="206"/>
      <c r="F57" s="206"/>
      <c r="G57" s="206"/>
      <c r="H57" s="206"/>
      <c r="I57" s="208"/>
      <c r="J57" s="202">
        <f>IF(J47&lt;$C$57,0,IF(J47=$C$57,$R$22*$E$48*$E$25,IF(((SUM($I$57:I57)+$R$22*$E$48)&lt;$R$22),$R$22*$E$48,$R$22-SUM($I$57:I57))))</f>
        <v>0</v>
      </c>
      <c r="K57" s="202">
        <f>IF(K47&lt;$C$57,0,IF(K47=$C$57,$R$22*$E$48*$E$25,IF(((SUM($I$57:J57)+$R$22*$E$48)&lt;$R$22),$R$22*$E$48,$R$22-SUM($I$57:J57))))</f>
        <v>0</v>
      </c>
      <c r="L57" s="202">
        <f>IF(L47&lt;$C$57,0,IF(L47=$C$57,$R$22*$E$48*$E$25,IF(((SUM($I$57:K57)+$R$22*$E$48)&lt;$R$22),$R$22*$E$48,$R$22-SUM($I$57:K57))))</f>
        <v>0</v>
      </c>
      <c r="M57" s="202">
        <f>IF(M47&lt;$C$57,0,IF(M47=$C$57,$R$22*$E$48*$E$25,IF(((SUM($I$57:L57)+$R$22*$E$48)&lt;$R$22),$R$22*$E$48,$R$22-SUM($I$57:L57))))</f>
        <v>0</v>
      </c>
      <c r="N57" s="202">
        <f>IF(N47&lt;$C$57,0,IF(N47=$C$57,$R$22*$E$48*$E$25,IF(((SUM($I$57:M57)+$R$22*$E$48)&lt;$R$22),$R$22*$E$48,$R$22-SUM($I$57:M57))))</f>
        <v>0</v>
      </c>
      <c r="O57" s="202">
        <f>IF(O47&lt;$C$57,0,IF(O47=$C$57,$R$22*$E$48*$E$25,IF(((SUM($I$57:N57)+$R$22*$E$48)&lt;$R$22),$R$22*$E$48,$R$22-SUM($I$57:N57))))</f>
        <v>0</v>
      </c>
      <c r="P57" s="202">
        <f>IF(P47&lt;$C$57,0,IF(P47=$C$57,$R$22*$E$48*$E$25,IF(((SUM($I$57:O57)+$R$22*$E$48)&lt;$R$22),$R$22*$E$48,$R$22-SUM($I$57:O57))))</f>
        <v>0</v>
      </c>
      <c r="Q57" s="202">
        <f>IF(Q47&lt;$C$57,0,IF(Q47=$C$57,$R$22*$E$48*$E$25,IF(((SUM($I$57:P57)+$R$22*$E$48)&lt;$R$22),$R$22*$E$48,$R$22-SUM($I$57:P57))))</f>
        <v>0</v>
      </c>
      <c r="R57" s="202">
        <f>IF(R47&lt;$C$57,0,IF(R47=$C$57,$R$22*$E$48*$E$25,IF(((SUM($I$57:Q57)+$R$22*$E$48)&lt;$R$22),$R$22*$E$48,$R$22-SUM($I$57:Q57))))</f>
        <v>0</v>
      </c>
      <c r="S57" s="202">
        <f>IF(S47&lt;$C$57,0,IF(S47=$C$57,$R$22*$E$48*$E$25,IF(((SUM($I$57:R57)+$R$22*$E$48)&lt;$R$22),$R$22*$E$48,$R$22-SUM($I$57:R57))))</f>
        <v>0</v>
      </c>
      <c r="T57" s="202">
        <f>IF(T47&lt;$C$57,0,IF(T47=$C$57,$R$22*$E$48*$E$25,IF(((SUM($I$57:S57)+$R$22*$E$48)&lt;$R$22),$R$22*$E$48,$R$22-SUM($I$57:S57))))</f>
        <v>0</v>
      </c>
      <c r="U57" s="202">
        <f>IF(U47&lt;$C$57,0,IF(U47=$C$57,$R$22*$E$48*$E$25,IF(((SUM($I$57:T57)+$R$22*$E$48)&lt;$R$22),$R$22*$E$48,$R$22-SUM($I$57:T57))))</f>
        <v>0</v>
      </c>
      <c r="V57" s="202">
        <f>IF(V47&lt;$C$57,0,IF(V47=$C$57,$R$22*$E$48*$E$25,IF(((SUM($I$57:U57)+$R$22*$E$48)&lt;$R$22),$R$22*$E$48,$R$22-SUM($I$57:U57))))</f>
        <v>0</v>
      </c>
      <c r="W57" s="202"/>
      <c r="X57" s="210">
        <f t="shared" si="18"/>
        <v>0</v>
      </c>
    </row>
    <row r="58" spans="3:24" x14ac:dyDescent="0.25">
      <c r="C58" s="174">
        <v>44256</v>
      </c>
      <c r="D58" s="206"/>
      <c r="E58" s="206"/>
      <c r="F58" s="206"/>
      <c r="G58" s="206"/>
      <c r="H58" s="206"/>
      <c r="I58" s="208"/>
      <c r="J58" s="202">
        <f>IF(J47&lt;$C$58,0,IF(J47=$C$58,$S$22*$E$48*$E$25,IF(((SUM($I$58:I58)+$S$22*$E$48)&lt;$S$22),$S$22*$E$48,$S$22-SUM($I$58:I58))))</f>
        <v>0</v>
      </c>
      <c r="K58" s="202">
        <f>IF(K47&lt;$C$58,0,IF(K47=$C$58,$S$22*$E$48*$E$25,IF(((SUM($I$58:J58)+$S$22*$E$48)&lt;$S$22),$S$22*$E$48,$S$22-SUM($I$58:J58))))</f>
        <v>0</v>
      </c>
      <c r="L58" s="202">
        <f>IF(L47&lt;$C$58,0,IF(L47=$C$58,$S$22*$E$48*$E$25,IF(((SUM($I$58:K58)+$S$22*$E$48)&lt;$S$22),$S$22*$E$48,$S$22-SUM($I$58:K58))))</f>
        <v>0</v>
      </c>
      <c r="M58" s="202">
        <f>IF(M47&lt;$C$58,0,IF(M47=$C$58,$S$22*$E$48*$E$25,IF(((SUM($I$58:L58)+$S$22*$E$48)&lt;$S$22),$S$22*$E$48,$S$22-SUM($I$58:L58))))</f>
        <v>0</v>
      </c>
      <c r="N58" s="202">
        <f>IF(N47&lt;$C$58,0,IF(N47=$C$58,$S$22*$E$48*$E$25,IF(((SUM($I$58:M58)+$S$22*$E$48)&lt;$S$22),$S$22*$E$48,$S$22-SUM($I$58:M58))))</f>
        <v>0</v>
      </c>
      <c r="O58" s="202">
        <f>IF(O47&lt;$C$58,0,IF(O47=$C$58,$S$22*$E$48*$E$25,IF(((SUM($I$58:N58)+$S$22*$E$48)&lt;$S$22),$S$22*$E$48,$S$22-SUM($I$58:N58))))</f>
        <v>0</v>
      </c>
      <c r="P58" s="202">
        <f>IF(P47&lt;$C$58,0,IF(P47=$C$58,$S$22*$E$48*$E$25,IF(((SUM($I$58:O58)+$S$22*$E$48)&lt;$S$22),$S$22*$E$48,$S$22-SUM($I$58:O58))))</f>
        <v>0</v>
      </c>
      <c r="Q58" s="202">
        <f>IF(Q47&lt;$C$58,0,IF(Q47=$C$58,$S$22*$E$48*$E$25,IF(((SUM($I$58:P58)+$S$22*$E$48)&lt;$S$22),$S$22*$E$48,$S$22-SUM($I$58:P58))))</f>
        <v>0</v>
      </c>
      <c r="R58" s="202">
        <f>IF(R47&lt;$C$58,0,IF(R47=$C$58,$S$22*$E$48*$E$25,IF(((SUM($I$58:Q58)+$S$22*$E$48)&lt;$S$22),$S$22*$E$48,$S$22-SUM($I$58:Q58))))</f>
        <v>0</v>
      </c>
      <c r="S58" s="202">
        <f>IF(S47&lt;$C$58,0,IF(S47=$C$58,$S$22*$E$48*$E$25,IF(((SUM($I$58:R58)+$S$22*$E$48)&lt;$S$22),$S$22*$E$48,$S$22-SUM($I$58:R58))))</f>
        <v>0</v>
      </c>
      <c r="T58" s="202">
        <f>IF(T47&lt;$C$58,0,IF(T47=$C$58,$S$22*$E$48*$E$25,IF(((SUM($I$58:S58)+$S$22*$E$48)&lt;$S$22),$S$22*$E$48,$S$22-SUM($I$58:S58))))</f>
        <v>0</v>
      </c>
      <c r="U58" s="202">
        <f>IF(U47&lt;$C$58,0,IF(U47=$C$58,$S$22*$E$48*$E$25,IF(((SUM($I$58:T58)+$S$22*$E$48)&lt;$S$22),$S$22*$E$48,$S$22-SUM($I$58:T58))))</f>
        <v>0</v>
      </c>
      <c r="V58" s="202">
        <f>IF(V47&lt;$C$58,0,IF(V47=$C$58,$S$22*$E$48*$E$25,IF(((SUM($I$58:U58)+$S$22*$E$48)&lt;$S$22),$S$22*$E$48,$S$22-SUM($I$58:U58))))</f>
        <v>0</v>
      </c>
      <c r="W58" s="202"/>
      <c r="X58" s="210">
        <f t="shared" si="18"/>
        <v>0</v>
      </c>
    </row>
    <row r="59" spans="3:24" x14ac:dyDescent="0.25">
      <c r="C59" s="174">
        <v>44287</v>
      </c>
      <c r="D59" s="206"/>
      <c r="E59" s="206"/>
      <c r="F59" s="206"/>
      <c r="G59" s="206"/>
      <c r="H59" s="206"/>
      <c r="I59" s="208"/>
      <c r="J59" s="202">
        <f>IF(J47&lt;$C$59,0,IF(J47=$C$59,$T$22*$E$48*$E$25,IF(((SUM($I$59:I59)+$T$22*$E$48)&lt;$T$22),$T$22*$E$48,$T$22-SUM($I$59:I59))))</f>
        <v>0</v>
      </c>
      <c r="K59" s="202">
        <f>IF(K47&lt;$C$59,0,IF(K47=$C$59,$T$22*$E$48*$E$25,IF(((SUM($I$59:J59)+$T$22*$E$48)&lt;$T$22),$T$22*$E$48,$T$22-SUM($I$59:J59))))</f>
        <v>0</v>
      </c>
      <c r="L59" s="202">
        <f>IF(L47&lt;$C$59,0,IF(L47=$C$59,$T$22*$E$48*$E$25,IF(((SUM($I$59:K59)+$T$22*$E$48)&lt;$T$22),$T$22*$E$48,$T$22-SUM($I$59:K59))))</f>
        <v>0</v>
      </c>
      <c r="M59" s="202">
        <f>IF(M47&lt;$C$59,0,IF(M47=$C$59,$T$22*$E$48*$E$25,IF(((SUM($I$59:L59)+$T$22*$E$48)&lt;$T$22),$T$22*$E$48,$T$22-SUM($I$59:L59))))</f>
        <v>0</v>
      </c>
      <c r="N59" s="202">
        <f>IF(N47&lt;$C$59,0,IF(N47=$C$59,$T$22*$E$48*$E$25,IF(((SUM($I$59:M59)+$T$22*$E$48)&lt;$T$22),$T$22*$E$48,$T$22-SUM($I$59:M59))))</f>
        <v>0</v>
      </c>
      <c r="O59" s="202">
        <f>IF(O47&lt;$C$59,0,IF(O47=$C$59,$T$22*$E$48*$E$25,IF(((SUM($I$59:N59)+$T$22*$E$48)&lt;$T$22),$T$22*$E$48,$T$22-SUM($I$59:N59))))</f>
        <v>0</v>
      </c>
      <c r="P59" s="202">
        <f>IF(P47&lt;$C$59,0,IF(P47=$C$59,$T$22*$E$48*$E$25,IF(((SUM($I$59:O59)+$T$22*$E$48)&lt;$T$22),$T$22*$E$48,$T$22-SUM($I$59:O59))))</f>
        <v>0</v>
      </c>
      <c r="Q59" s="202">
        <f>IF(Q47&lt;$C$59,0,IF(Q47=$C$59,$T$22*$E$48*$E$25,IF(((SUM($I$59:P59)+$T$22*$E$48)&lt;$T$22),$T$22*$E$48,$T$22-SUM($I$59:P59))))</f>
        <v>0</v>
      </c>
      <c r="R59" s="202">
        <f>IF(R47&lt;$C$59,0,IF(R47=$C$59,$T$22*$E$48*$E$25,IF(((SUM($I$59:Q59)+$T$22*$E$48)&lt;$T$22),$T$22*$E$48,$T$22-SUM($I$59:Q59))))</f>
        <v>0</v>
      </c>
      <c r="S59" s="202">
        <f>IF(S47&lt;$C$59,0,IF(S47=$C$59,$T$22*$E$48*$E$25,IF(((SUM($I$59:R59)+$T$22*$E$48)&lt;$T$22),$T$22*$E$48,$T$22-SUM($I$59:R59))))</f>
        <v>0</v>
      </c>
      <c r="T59" s="202">
        <f>IF(T47&lt;$C$59,0,IF(T47=$C$59,$T$22*$E$48*$E$25,IF(((SUM($I$59:S59)+$T$22*$E$48)&lt;$T$22),$T$22*$E$48,$T$22-SUM($I$59:S59))))</f>
        <v>0</v>
      </c>
      <c r="U59" s="202">
        <f>IF(U47&lt;$C$59,0,IF(U47=$C$59,$T$22*$E$48*$E$25,IF(((SUM($I$59:T59)+$T$22*$E$48)&lt;$T$22),$T$22*$E$48,$T$22-SUM($I$59:T59))))</f>
        <v>0</v>
      </c>
      <c r="V59" s="202">
        <f>IF(V47&lt;$C$59,0,IF(V47=$C$59,$T$22*$E$48*$E$25,IF(((SUM($I$59:U59)+$T$22*$E$48)&lt;$T$22),$T$22*$E$48,$T$22-SUM($I$59:U59))))</f>
        <v>0</v>
      </c>
      <c r="W59" s="202"/>
      <c r="X59" s="210">
        <f t="shared" si="18"/>
        <v>0</v>
      </c>
    </row>
    <row r="60" spans="3:24" x14ac:dyDescent="0.25">
      <c r="C60" s="174">
        <v>44317</v>
      </c>
      <c r="D60" s="206"/>
      <c r="E60" s="206"/>
      <c r="F60" s="206"/>
      <c r="G60" s="206"/>
      <c r="H60" s="206"/>
      <c r="I60" s="208"/>
      <c r="J60" s="202">
        <f>IF(J47&lt;$C$60,0,IF(J47=$C$60,$U$22*$E$48*$E$25,IF(((SUM($I$60:I60)+$U$22*$E$48)&lt;$U$22),$U$22*$E$48,$U$22-SUM($I$60:I60))))</f>
        <v>0</v>
      </c>
      <c r="K60" s="202">
        <f>IF(K47&lt;$C$60,0,IF(K47=$C$60,$U$22*$E$48*$E$25,IF(((SUM($I$60:J60)+$U$22*$E$48)&lt;$U$22),$U$22*$E$48,$U$22-SUM($I$60:J60))))</f>
        <v>0</v>
      </c>
      <c r="L60" s="202">
        <f>IF(L47&lt;$C$60,0,IF(L47=$C$60,$U$22*$E$48*$E$25,IF(((SUM($I$60:K60)+$U$22*$E$48)&lt;$U$22),$U$22*$E$48,$U$22-SUM($I$60:K60))))</f>
        <v>0</v>
      </c>
      <c r="M60" s="202">
        <f>IF(M47&lt;$C$60,0,IF(M47=$C$60,$U$22*$E$48*$E$25,IF(((SUM($I$60:L60)+$U$22*$E$48)&lt;$U$22),$U$22*$E$48,$U$22-SUM($I$60:L60))))</f>
        <v>0</v>
      </c>
      <c r="N60" s="202">
        <f>IF(N47&lt;$C$60,0,IF(N47=$C$60,$U$22*$E$48*$E$25,IF(((SUM($I$60:M60)+$U$22*$E$48)&lt;$U$22),$U$22*$E$48,$U$22-SUM($I$60:M60))))</f>
        <v>0</v>
      </c>
      <c r="O60" s="202">
        <f>IF(O47&lt;$C$60,0,IF(O47=$C$60,$U$22*$E$48*$E$25,IF(((SUM($I$60:N60)+$U$22*$E$48)&lt;$U$22),$U$22*$E$48,$U$22-SUM($I$60:N60))))</f>
        <v>0</v>
      </c>
      <c r="P60" s="202">
        <f>IF(P47&lt;$C$60,0,IF(P47=$C$60,$U$22*$E$48*$E$25,IF(((SUM($I$60:O60)+$U$22*$E$48)&lt;$U$22),$U$22*$E$48,$U$22-SUM($I$60:O60))))</f>
        <v>0</v>
      </c>
      <c r="Q60" s="202">
        <f>IF(Q47&lt;$C$60,0,IF(Q47=$C$60,$U$22*$E$48*$E$25,IF(((SUM($I$60:P60)+$U$22*$E$48)&lt;$U$22),$U$22*$E$48,$U$22-SUM($I$60:P60))))</f>
        <v>0</v>
      </c>
      <c r="R60" s="202">
        <f>IF(R47&lt;$C$60,0,IF(R47=$C$60,$U$22*$E$48*$E$25,IF(((SUM($I$60:Q60)+$U$22*$E$48)&lt;$U$22),$U$22*$E$48,$U$22-SUM($I$60:Q60))))</f>
        <v>0</v>
      </c>
      <c r="S60" s="202">
        <f>IF(S47&lt;$C$60,0,IF(S47=$C$60,$U$22*$E$48*$E$25,IF(((SUM($I$60:R60)+$U$22*$E$48)&lt;$U$22),$U$22*$E$48,$U$22-SUM($I$60:R60))))</f>
        <v>0</v>
      </c>
      <c r="T60" s="202">
        <f>IF(T47&lt;$C$60,0,IF(T47=$C$60,$U$22*$E$48*$E$25,IF(((SUM($I$60:S60)+$U$22*$E$48)&lt;$U$22),$U$22*$E$48,$U$22-SUM($I$60:S60))))</f>
        <v>0</v>
      </c>
      <c r="U60" s="202">
        <f>IF(U47&lt;$C$60,0,IF(U47=$C$60,$U$22*$E$48*$E$25,IF(((SUM($I$60:T60)+$U$22*$E$48)&lt;$U$22),$U$22*$E$48,$U$22-SUM($I$60:T60))))</f>
        <v>0</v>
      </c>
      <c r="V60" s="202">
        <f>IF(V47&lt;$C$60,0,IF(V47=$C$60,$U$22*$E$48*$E$25,IF(((SUM($I$60:U60)+$U$22*$E$48)&lt;$U$22),$U$22*$E$48,$U$22-SUM($I$60:U60))))</f>
        <v>0</v>
      </c>
      <c r="W60" s="202"/>
      <c r="X60" s="210">
        <f t="shared" si="18"/>
        <v>0</v>
      </c>
    </row>
    <row r="61" spans="3:24" x14ac:dyDescent="0.25">
      <c r="C61" s="174">
        <v>44348</v>
      </c>
      <c r="D61" s="206"/>
      <c r="E61" s="206"/>
      <c r="F61" s="206"/>
      <c r="G61" s="206"/>
      <c r="H61" s="206"/>
      <c r="I61" s="208"/>
      <c r="J61" s="202">
        <f>IF(J47&lt;$C$61,0,IF(J47=$C$62,$V$22*$E$48*$E$25,IF(((SUM($I$61:I61)+$V$22*$E$48)&lt;$V$22),$V$22*$E$48,$V$22-SUM($I$61:I61))))</f>
        <v>0</v>
      </c>
      <c r="K61" s="202">
        <f>IF(K47&lt;$C$61,0,IF(K47=$C$62,$V$22*$E$48*$E$25,IF(((SUM($I$61:J61)+$V$22*$E$48)&lt;$V$22),$V$22*$E$48,$V$22-SUM($I$61:J61))))</f>
        <v>0</v>
      </c>
      <c r="L61" s="202">
        <f>IF(L47&lt;$C$61,0,IF(L47=$C$62,$V$22*$E$48*$E$25,IF(((SUM($I$61:K61)+$V$22*$E$48)&lt;$V$22),$V$22*$E$48,$V$22-SUM($I$61:K61))))</f>
        <v>0</v>
      </c>
      <c r="M61" s="202">
        <f>IF(M47&lt;$C$61,0,IF(M47=$C$62,$V$22*$E$48*$E$25,IF(((SUM($I$61:L61)+$V$22*$E$48)&lt;$V$22),$V$22*$E$48,$V$22-SUM($I$61:L61))))</f>
        <v>0</v>
      </c>
      <c r="N61" s="202">
        <f>IF(N47&lt;$C$61,0,IF(N47=$C$62,$V$22*$E$48*$E$25,IF(((SUM($I$61:M61)+$V$22*$E$48)&lt;$V$22),$V$22*$E$48,$V$22-SUM($I$61:M61))))</f>
        <v>0</v>
      </c>
      <c r="O61" s="202">
        <f>IF(O47&lt;$C$61,0,IF(O47=$C$62,$V$22*$E$48*$E$25,IF(((SUM($I$61:N61)+$V$22*$E$48)&lt;$V$22),$V$22*$E$48,$V$22-SUM($I$61:N61))))</f>
        <v>0</v>
      </c>
      <c r="P61" s="202">
        <f>IF(P47&lt;$C$61,0,IF(P47=$C$62,$V$22*$E$48*$E$25,IF(((SUM($I$61:O61)+$V$22*$E$48)&lt;$V$22),$V$22*$E$48,$V$22-SUM($I$61:O61))))</f>
        <v>0</v>
      </c>
      <c r="Q61" s="202">
        <f>IF(Q47&lt;$C$61,0,IF(Q47=$C$62,$V$22*$E$48*$E$25,IF(((SUM($I$61:P61)+$V$22*$E$48)&lt;$V$22),$V$22*$E$48,$V$22-SUM($I$61:P61))))</f>
        <v>0</v>
      </c>
      <c r="R61" s="202">
        <f>IF(R47&lt;$C$61,0,IF(R47=$C$62,$V$22*$E$48*$E$25,IF(((SUM($I$61:Q61)+$V$22*$E$48)&lt;$V$22),$V$22*$E$48,$V$22-SUM($I$61:Q61))))</f>
        <v>0</v>
      </c>
      <c r="S61" s="202">
        <f>IF(S47&lt;$C$61,0,IF(S47=$C$62,$V$22*$E$48*$E$25,IF(((SUM($I$61:R61)+$V$22*$E$48)&lt;$V$22),$V$22*$E$48,$V$22-SUM($I$61:R61))))</f>
        <v>0</v>
      </c>
      <c r="T61" s="202">
        <f>IF(T47&lt;$C$61,0,IF(T47=$C$62,$V$22*$E$48*$E$25,IF(((SUM($I$61:S61)+$V$22*$E$48)&lt;$V$22),$V$22*$E$48,$V$22-SUM($I$61:S61))))</f>
        <v>0</v>
      </c>
      <c r="U61" s="202">
        <f>IF(U47&lt;$C$61,0,IF(U47=$C$62,$V$22*$E$48*$E$25,IF(((SUM($I$61:T61)+$V$22*$E$48)&lt;$V$22),$V$22*$E$48,$V$22-SUM($I$61:T61))))</f>
        <v>0</v>
      </c>
      <c r="V61" s="202">
        <f>IF(V47&lt;$C$61,0,IF(V47=$C$62,$V$22*$E$48*$E$25,IF(((SUM($I$61:U61)+$V$22*$E$48)&lt;$V$22),$V$22*$E$48,$V$22-SUM($I$61:U61))))</f>
        <v>0</v>
      </c>
      <c r="W61" s="202"/>
      <c r="X61" s="210">
        <f>SUM(J61:V61)</f>
        <v>0</v>
      </c>
    </row>
    <row r="62" spans="3:24" x14ac:dyDescent="0.25">
      <c r="C62" s="9"/>
      <c r="D62" s="206"/>
      <c r="E62" s="206"/>
      <c r="F62" s="206"/>
      <c r="G62" s="206"/>
      <c r="H62" s="206"/>
      <c r="I62" s="208"/>
      <c r="J62" s="202"/>
      <c r="K62" s="202"/>
      <c r="L62" s="202"/>
      <c r="M62" s="202"/>
      <c r="N62" s="202"/>
      <c r="O62" s="202"/>
      <c r="P62" s="202"/>
      <c r="Q62" s="202"/>
      <c r="R62" s="202"/>
      <c r="S62" s="202"/>
      <c r="T62" s="202"/>
      <c r="U62" s="202"/>
      <c r="V62" s="202"/>
      <c r="W62" s="202"/>
      <c r="X62" s="210"/>
    </row>
    <row r="63" spans="3:24" x14ac:dyDescent="0.25">
      <c r="C63" s="9"/>
      <c r="D63" s="206"/>
      <c r="E63" s="206"/>
      <c r="F63" s="206"/>
      <c r="G63" s="206"/>
      <c r="H63" s="206"/>
      <c r="I63" s="206"/>
      <c r="J63" s="202"/>
      <c r="K63" s="202"/>
      <c r="L63" s="202"/>
      <c r="M63" s="202"/>
      <c r="N63" s="202"/>
      <c r="O63" s="202"/>
      <c r="P63" s="202"/>
      <c r="Q63" s="202"/>
      <c r="R63" s="202"/>
      <c r="S63" s="202"/>
      <c r="T63" s="202"/>
      <c r="U63" s="202"/>
      <c r="V63" s="202"/>
      <c r="W63" s="202"/>
      <c r="X63" s="210"/>
    </row>
    <row r="64" spans="3:24" ht="16.5" thickBot="1" x14ac:dyDescent="0.3">
      <c r="C64" s="215" t="s">
        <v>225</v>
      </c>
      <c r="D64" s="212"/>
      <c r="E64" s="212"/>
      <c r="F64" s="212"/>
      <c r="G64" s="212"/>
      <c r="H64" s="212"/>
      <c r="I64" s="213"/>
      <c r="J64" s="213">
        <f>SUM(J48:J61)</f>
        <v>0</v>
      </c>
      <c r="K64" s="213">
        <f t="shared" ref="K64:V64" si="19">SUM(K48:K61)</f>
        <v>0</v>
      </c>
      <c r="L64" s="213">
        <f t="shared" si="19"/>
        <v>0</v>
      </c>
      <c r="M64" s="213">
        <f t="shared" si="19"/>
        <v>0</v>
      </c>
      <c r="N64" s="213">
        <f t="shared" si="19"/>
        <v>0</v>
      </c>
      <c r="O64" s="213">
        <f t="shared" si="19"/>
        <v>0</v>
      </c>
      <c r="P64" s="213">
        <f t="shared" si="19"/>
        <v>0</v>
      </c>
      <c r="Q64" s="213">
        <f t="shared" si="19"/>
        <v>0</v>
      </c>
      <c r="R64" s="213">
        <f t="shared" si="19"/>
        <v>0</v>
      </c>
      <c r="S64" s="213">
        <f t="shared" si="19"/>
        <v>0</v>
      </c>
      <c r="T64" s="213">
        <f t="shared" si="19"/>
        <v>0</v>
      </c>
      <c r="U64" s="213">
        <f t="shared" si="19"/>
        <v>0</v>
      </c>
      <c r="V64" s="213">
        <f t="shared" si="19"/>
        <v>0</v>
      </c>
      <c r="W64" s="213"/>
      <c r="X64" s="214">
        <f>SUM(J64:V64)</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2:XFD28"/>
  <sheetViews>
    <sheetView showGridLines="0" rightToLeft="1" workbookViewId="0">
      <selection activeCell="F8" sqref="F8:F11"/>
    </sheetView>
  </sheetViews>
  <sheetFormatPr defaultRowHeight="15" x14ac:dyDescent="0.25"/>
  <cols>
    <col min="1" max="1" width="9.140625" style="14"/>
    <col min="2" max="2" width="16.85546875" style="14" customWidth="1"/>
    <col min="3" max="16384" width="9.140625" style="14"/>
  </cols>
  <sheetData>
    <row r="2" spans="2:6" x14ac:dyDescent="0.25">
      <c r="B2" s="107" t="s">
        <v>54</v>
      </c>
      <c r="D2" s="107" t="s">
        <v>15</v>
      </c>
      <c r="F2" s="107" t="s">
        <v>107</v>
      </c>
    </row>
    <row r="3" spans="2:6" ht="15.75" x14ac:dyDescent="0.25">
      <c r="B3" s="14" t="s">
        <v>56</v>
      </c>
      <c r="D3" s="32">
        <v>43952</v>
      </c>
      <c r="F3" s="14" t="s">
        <v>108</v>
      </c>
    </row>
    <row r="4" spans="2:6" ht="15.75" x14ac:dyDescent="0.25">
      <c r="B4" s="14" t="s">
        <v>57</v>
      </c>
      <c r="D4" s="32">
        <v>43983</v>
      </c>
      <c r="F4" s="14" t="s">
        <v>109</v>
      </c>
    </row>
    <row r="5" spans="2:6" ht="15.75" x14ac:dyDescent="0.25">
      <c r="D5" s="32">
        <v>44013</v>
      </c>
      <c r="F5" s="14" t="s">
        <v>110</v>
      </c>
    </row>
    <row r="6" spans="2:6" ht="15.75" x14ac:dyDescent="0.25">
      <c r="D6" s="32">
        <v>44044</v>
      </c>
      <c r="F6" s="14" t="s">
        <v>111</v>
      </c>
    </row>
    <row r="7" spans="2:6" ht="15.75" x14ac:dyDescent="0.25">
      <c r="D7" s="32">
        <v>44075</v>
      </c>
      <c r="F7" s="14" t="s">
        <v>0</v>
      </c>
    </row>
    <row r="8" spans="2:6" ht="15.75" x14ac:dyDescent="0.25">
      <c r="D8" s="32">
        <v>44105</v>
      </c>
      <c r="F8" s="14" t="s">
        <v>199</v>
      </c>
    </row>
    <row r="9" spans="2:6" ht="15.75" x14ac:dyDescent="0.25">
      <c r="D9" s="32">
        <v>44136</v>
      </c>
      <c r="F9" s="14" t="s">
        <v>200</v>
      </c>
    </row>
    <row r="10" spans="2:6" ht="15.75" x14ac:dyDescent="0.25">
      <c r="D10" s="32">
        <v>44166</v>
      </c>
      <c r="F10" s="14" t="s">
        <v>201</v>
      </c>
    </row>
    <row r="11" spans="2:6" ht="15.75" x14ac:dyDescent="0.25">
      <c r="D11" s="32">
        <v>44197</v>
      </c>
      <c r="F11" s="14" t="s">
        <v>202</v>
      </c>
    </row>
    <row r="12" spans="2:6" ht="15.75" x14ac:dyDescent="0.25">
      <c r="D12" s="32">
        <v>44228</v>
      </c>
    </row>
    <row r="13" spans="2:6" ht="15.75" x14ac:dyDescent="0.25">
      <c r="D13" s="32">
        <v>44256</v>
      </c>
    </row>
    <row r="14" spans="2:6" ht="15.75" x14ac:dyDescent="0.25">
      <c r="D14" s="32">
        <v>44287</v>
      </c>
    </row>
    <row r="15" spans="2:6" ht="15.75" x14ac:dyDescent="0.25">
      <c r="D15" s="32">
        <v>44317</v>
      </c>
    </row>
    <row r="16" spans="2:6" ht="15.75" x14ac:dyDescent="0.25">
      <c r="D16" s="32">
        <v>44348</v>
      </c>
    </row>
    <row r="17" spans="1:16384" ht="15.75" x14ac:dyDescent="0.25">
      <c r="D17" s="32">
        <v>44378</v>
      </c>
    </row>
    <row r="18" spans="1:16384" ht="15.75" x14ac:dyDescent="0.25">
      <c r="D18" s="32">
        <v>44409</v>
      </c>
    </row>
    <row r="19" spans="1:16384" ht="15.75" x14ac:dyDescent="0.25">
      <c r="D19" s="32">
        <v>44440</v>
      </c>
    </row>
    <row r="20" spans="1:16384" ht="15.75" x14ac:dyDescent="0.25">
      <c r="D20" s="32">
        <v>44470</v>
      </c>
    </row>
    <row r="21" spans="1:16384" ht="15.75" x14ac:dyDescent="0.25">
      <c r="D21" s="32">
        <v>44501</v>
      </c>
    </row>
    <row r="22" spans="1:16384" ht="15.75" x14ac:dyDescent="0.25">
      <c r="D22" s="32">
        <v>44531</v>
      </c>
    </row>
    <row r="26" spans="1:16384" x14ac:dyDescent="0.25">
      <c r="B26" s="4"/>
      <c r="C26" s="4"/>
      <c r="D26" s="4"/>
      <c r="E26" s="4"/>
      <c r="F26" s="4"/>
      <c r="G26" s="4"/>
      <c r="H26" s="4"/>
      <c r="I26" s="4"/>
      <c r="J26" s="4"/>
      <c r="K26" s="4"/>
      <c r="L26" s="4"/>
      <c r="M26" s="4"/>
      <c r="N26" s="4"/>
      <c r="O26" s="4"/>
      <c r="P26" s="4"/>
      <c r="Q26" s="4"/>
    </row>
    <row r="27" spans="1:16384" ht="3"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c r="XFD27" s="5"/>
    </row>
    <row r="28" spans="1:16384" x14ac:dyDescent="0.25">
      <c r="B28" s="4"/>
      <c r="C28" s="4"/>
      <c r="D28" s="4"/>
      <c r="E28" s="4"/>
      <c r="F28" s="4"/>
      <c r="G28" s="4"/>
      <c r="H28" s="4"/>
      <c r="I28" s="4"/>
      <c r="J28" s="4"/>
      <c r="K28" s="4"/>
      <c r="L28" s="4"/>
      <c r="M28" s="4"/>
      <c r="N28" s="4"/>
      <c r="O28" s="4"/>
      <c r="P28" s="4"/>
      <c r="Q28" s="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X44"/>
  <sheetViews>
    <sheetView showGridLines="0" rightToLeft="1" workbookViewId="0">
      <selection activeCell="J2" sqref="J2"/>
    </sheetView>
  </sheetViews>
  <sheetFormatPr defaultRowHeight="15.75" x14ac:dyDescent="0.25"/>
  <cols>
    <col min="1" max="2" width="2.28515625" style="200" customWidth="1"/>
    <col min="3" max="3" width="36.42578125" style="200" bestFit="1" customWidth="1"/>
    <col min="4" max="9" width="1.140625" style="200" customWidth="1"/>
    <col min="10" max="18" width="11.85546875" style="200" bestFit="1" customWidth="1"/>
    <col min="19" max="19" width="12" style="200" bestFit="1" customWidth="1"/>
    <col min="20" max="22" width="11.85546875" style="200" bestFit="1" customWidth="1"/>
    <col min="23" max="23" width="9.140625" style="200"/>
    <col min="24" max="24" width="10.5703125" style="200" bestFit="1" customWidth="1"/>
    <col min="25" max="16384" width="9.140625" style="200"/>
  </cols>
  <sheetData>
    <row r="1" spans="3:24" ht="16.5" thickBot="1" x14ac:dyDescent="0.3"/>
    <row r="2" spans="3:24" x14ac:dyDescent="0.25">
      <c r="C2" s="22" t="s">
        <v>246</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34"/>
      <c r="X2" s="20" t="s">
        <v>23</v>
      </c>
    </row>
    <row r="3" spans="3:24" x14ac:dyDescent="0.25">
      <c r="C3" s="9"/>
      <c r="D3" s="206"/>
      <c r="E3" s="206"/>
      <c r="F3" s="206"/>
      <c r="G3" s="206"/>
      <c r="H3" s="206"/>
      <c r="I3" s="206"/>
      <c r="J3" s="206"/>
      <c r="K3" s="206"/>
      <c r="L3" s="206"/>
      <c r="M3" s="206"/>
      <c r="N3" s="206"/>
      <c r="O3" s="206"/>
      <c r="P3" s="206"/>
      <c r="Q3" s="206"/>
      <c r="R3" s="206"/>
      <c r="S3" s="206"/>
      <c r="T3" s="206"/>
      <c r="U3" s="206"/>
      <c r="V3" s="206"/>
      <c r="W3" s="206"/>
      <c r="X3" s="232"/>
    </row>
    <row r="4" spans="3:24" x14ac:dyDescent="0.25">
      <c r="C4" s="24" t="s">
        <v>245</v>
      </c>
      <c r="D4" s="206"/>
      <c r="E4" s="206"/>
      <c r="F4" s="206"/>
      <c r="G4" s="206"/>
      <c r="H4" s="206"/>
      <c r="I4" s="206"/>
      <c r="J4" s="237"/>
      <c r="K4" s="237"/>
      <c r="L4" s="237"/>
      <c r="M4" s="237"/>
      <c r="N4" s="237"/>
      <c r="O4" s="237"/>
      <c r="P4" s="237"/>
      <c r="Q4" s="237"/>
      <c r="R4" s="237"/>
      <c r="S4" s="237"/>
      <c r="T4" s="237"/>
      <c r="U4" s="237"/>
      <c r="V4" s="237"/>
      <c r="W4" s="237"/>
      <c r="X4" s="240"/>
    </row>
    <row r="5" spans="3:24" ht="6" customHeight="1" x14ac:dyDescent="0.25">
      <c r="C5" s="24"/>
      <c r="D5" s="206"/>
      <c r="E5" s="206"/>
      <c r="F5" s="206"/>
      <c r="G5" s="206"/>
      <c r="H5" s="206"/>
      <c r="I5" s="206"/>
      <c r="J5" s="237"/>
      <c r="K5" s="237"/>
      <c r="L5" s="237"/>
      <c r="M5" s="237"/>
      <c r="N5" s="237"/>
      <c r="O5" s="237"/>
      <c r="P5" s="237"/>
      <c r="Q5" s="237"/>
      <c r="R5" s="237"/>
      <c r="S5" s="237"/>
      <c r="T5" s="237"/>
      <c r="U5" s="237"/>
      <c r="V5" s="237"/>
      <c r="W5" s="237"/>
      <c r="X5" s="240"/>
    </row>
    <row r="6" spans="3:24" x14ac:dyDescent="0.25">
      <c r="C6" s="24" t="s">
        <v>247</v>
      </c>
      <c r="D6" s="206"/>
      <c r="E6" s="206"/>
      <c r="F6" s="206"/>
      <c r="G6" s="206"/>
      <c r="H6" s="206"/>
      <c r="I6" s="206"/>
      <c r="J6" s="237">
        <f t="array" ref="J6:V6">TRANSPOSE(הנחות!D39:D51)</f>
        <v>80000</v>
      </c>
      <c r="K6" s="237">
        <v>78000</v>
      </c>
      <c r="L6" s="237">
        <v>76000</v>
      </c>
      <c r="M6" s="237">
        <v>74000</v>
      </c>
      <c r="N6" s="237">
        <v>72000</v>
      </c>
      <c r="O6" s="237">
        <v>70000</v>
      </c>
      <c r="P6" s="237">
        <v>68000</v>
      </c>
      <c r="Q6" s="237">
        <v>66000</v>
      </c>
      <c r="R6" s="237">
        <v>64000</v>
      </c>
      <c r="S6" s="237">
        <v>62000</v>
      </c>
      <c r="T6" s="237">
        <v>60000</v>
      </c>
      <c r="U6" s="237">
        <v>58000</v>
      </c>
      <c r="V6" s="237">
        <v>56000</v>
      </c>
      <c r="W6" s="237"/>
      <c r="X6" s="240">
        <f>SUM(J6:V6)</f>
        <v>884000</v>
      </c>
    </row>
    <row r="7" spans="3:24" ht="6" customHeight="1" x14ac:dyDescent="0.25">
      <c r="C7" s="24"/>
      <c r="D7" s="206"/>
      <c r="E7" s="206"/>
      <c r="F7" s="206"/>
      <c r="G7" s="206"/>
      <c r="H7" s="206"/>
      <c r="I7" s="206"/>
      <c r="J7" s="237"/>
      <c r="K7" s="237"/>
      <c r="L7" s="237"/>
      <c r="M7" s="237"/>
      <c r="N7" s="237"/>
      <c r="O7" s="237"/>
      <c r="P7" s="237"/>
      <c r="Q7" s="237"/>
      <c r="R7" s="237"/>
      <c r="S7" s="237"/>
      <c r="T7" s="237"/>
      <c r="U7" s="237"/>
      <c r="V7" s="237"/>
      <c r="W7" s="237"/>
      <c r="X7" s="240"/>
    </row>
    <row r="8" spans="3:24" x14ac:dyDescent="0.25">
      <c r="C8" s="24" t="s">
        <v>248</v>
      </c>
      <c r="D8" s="206"/>
      <c r="E8" s="206"/>
      <c r="F8" s="206"/>
      <c r="G8" s="206"/>
      <c r="H8" s="206"/>
      <c r="I8" s="206"/>
      <c r="J8" s="237">
        <f>J32</f>
        <v>0</v>
      </c>
      <c r="K8" s="237">
        <f t="shared" ref="K8:V8" si="1">K32</f>
        <v>0</v>
      </c>
      <c r="L8" s="237">
        <f t="shared" si="1"/>
        <v>0</v>
      </c>
      <c r="M8" s="237">
        <f t="shared" si="1"/>
        <v>0</v>
      </c>
      <c r="N8" s="237">
        <f t="shared" si="1"/>
        <v>0</v>
      </c>
      <c r="O8" s="237">
        <f t="shared" si="1"/>
        <v>0</v>
      </c>
      <c r="P8" s="237">
        <f t="shared" si="1"/>
        <v>0</v>
      </c>
      <c r="Q8" s="237">
        <f t="shared" si="1"/>
        <v>0</v>
      </c>
      <c r="R8" s="237">
        <f t="shared" si="1"/>
        <v>0</v>
      </c>
      <c r="S8" s="237">
        <f t="shared" si="1"/>
        <v>0</v>
      </c>
      <c r="T8" s="237">
        <f t="shared" si="1"/>
        <v>0</v>
      </c>
      <c r="U8" s="237">
        <f t="shared" si="1"/>
        <v>0</v>
      </c>
      <c r="V8" s="237">
        <f t="shared" si="1"/>
        <v>0</v>
      </c>
      <c r="W8" s="237"/>
      <c r="X8" s="240">
        <f>SUM(J8:V8)</f>
        <v>0</v>
      </c>
    </row>
    <row r="9" spans="3:24" ht="6" customHeight="1" x14ac:dyDescent="0.25">
      <c r="C9" s="24"/>
      <c r="D9" s="206"/>
      <c r="E9" s="206"/>
      <c r="F9" s="206"/>
      <c r="G9" s="206"/>
      <c r="H9" s="206"/>
      <c r="I9" s="206"/>
      <c r="J9" s="237"/>
      <c r="K9" s="237"/>
      <c r="L9" s="237"/>
      <c r="M9" s="237"/>
      <c r="N9" s="237"/>
      <c r="O9" s="237"/>
      <c r="P9" s="237"/>
      <c r="Q9" s="237"/>
      <c r="R9" s="237"/>
      <c r="S9" s="237"/>
      <c r="T9" s="237"/>
      <c r="U9" s="237"/>
      <c r="V9" s="237"/>
      <c r="W9" s="237"/>
      <c r="X9" s="240"/>
    </row>
    <row r="10" spans="3:24" x14ac:dyDescent="0.25">
      <c r="C10" s="24" t="s">
        <v>249</v>
      </c>
      <c r="D10" s="206"/>
      <c r="E10" s="206"/>
      <c r="F10" s="206"/>
      <c r="G10" s="206"/>
      <c r="H10" s="206"/>
      <c r="I10" s="206"/>
      <c r="J10" s="242">
        <f>SUM(J6,J8)</f>
        <v>80000</v>
      </c>
      <c r="K10" s="242">
        <f t="shared" ref="K10:V10" si="2">SUM(K6,K8)</f>
        <v>78000</v>
      </c>
      <c r="L10" s="242">
        <f t="shared" si="2"/>
        <v>76000</v>
      </c>
      <c r="M10" s="242">
        <f t="shared" si="2"/>
        <v>74000</v>
      </c>
      <c r="N10" s="242">
        <f t="shared" si="2"/>
        <v>72000</v>
      </c>
      <c r="O10" s="242">
        <f t="shared" si="2"/>
        <v>70000</v>
      </c>
      <c r="P10" s="242">
        <f t="shared" si="2"/>
        <v>68000</v>
      </c>
      <c r="Q10" s="242">
        <f t="shared" si="2"/>
        <v>66000</v>
      </c>
      <c r="R10" s="242">
        <f t="shared" si="2"/>
        <v>64000</v>
      </c>
      <c r="S10" s="242">
        <f t="shared" si="2"/>
        <v>62000</v>
      </c>
      <c r="T10" s="242">
        <f t="shared" si="2"/>
        <v>60000</v>
      </c>
      <c r="U10" s="242">
        <f t="shared" si="2"/>
        <v>58000</v>
      </c>
      <c r="V10" s="242">
        <f t="shared" si="2"/>
        <v>56000</v>
      </c>
      <c r="W10" s="242"/>
      <c r="X10" s="243">
        <f>SUM(J10:V10)</f>
        <v>884000</v>
      </c>
    </row>
    <row r="11" spans="3:24" ht="6" customHeight="1" x14ac:dyDescent="0.25">
      <c r="C11" s="24"/>
      <c r="D11" s="206"/>
      <c r="E11" s="206"/>
      <c r="F11" s="206"/>
      <c r="G11" s="206"/>
      <c r="H11" s="206"/>
      <c r="I11" s="206"/>
      <c r="J11" s="237"/>
      <c r="K11" s="237"/>
      <c r="L11" s="237"/>
      <c r="M11" s="237"/>
      <c r="N11" s="237"/>
      <c r="O11" s="237"/>
      <c r="P11" s="237"/>
      <c r="Q11" s="237"/>
      <c r="R11" s="237"/>
      <c r="S11" s="237"/>
      <c r="T11" s="237"/>
      <c r="U11" s="237"/>
      <c r="V11" s="237"/>
      <c r="W11" s="237"/>
      <c r="X11" s="240"/>
    </row>
    <row r="12" spans="3:24" x14ac:dyDescent="0.25">
      <c r="C12" s="24" t="s">
        <v>250</v>
      </c>
      <c r="D12" s="206"/>
      <c r="E12" s="206"/>
      <c r="F12" s="206"/>
      <c r="G12" s="206"/>
      <c r="H12" s="206"/>
      <c r="I12" s="206"/>
      <c r="J12" s="237"/>
      <c r="K12" s="237"/>
      <c r="L12" s="237"/>
      <c r="M12" s="237"/>
      <c r="N12" s="237"/>
      <c r="O12" s="237"/>
      <c r="P12" s="237"/>
      <c r="Q12" s="237"/>
      <c r="R12" s="237"/>
      <c r="S12" s="237"/>
      <c r="T12" s="237"/>
      <c r="U12" s="237"/>
      <c r="V12" s="237"/>
      <c r="W12" s="237"/>
      <c r="X12" s="240"/>
    </row>
    <row r="13" spans="3:24" ht="6" customHeight="1" x14ac:dyDescent="0.25">
      <c r="C13" s="24"/>
      <c r="D13" s="206"/>
      <c r="E13" s="206"/>
      <c r="F13" s="206"/>
      <c r="G13" s="206"/>
      <c r="H13" s="206"/>
      <c r="I13" s="206"/>
      <c r="J13" s="237"/>
      <c r="K13" s="237"/>
      <c r="L13" s="237"/>
      <c r="M13" s="237"/>
      <c r="N13" s="237"/>
      <c r="O13" s="237"/>
      <c r="P13" s="237"/>
      <c r="Q13" s="237"/>
      <c r="R13" s="237"/>
      <c r="S13" s="237"/>
      <c r="T13" s="237"/>
      <c r="U13" s="237"/>
      <c r="V13" s="237"/>
      <c r="W13" s="237"/>
      <c r="X13" s="240"/>
    </row>
    <row r="14" spans="3:24" x14ac:dyDescent="0.25">
      <c r="C14" s="24" t="s">
        <v>217</v>
      </c>
      <c r="D14" s="206"/>
      <c r="E14" s="206"/>
      <c r="F14" s="206"/>
      <c r="G14" s="206"/>
      <c r="H14" s="206"/>
      <c r="I14" s="206"/>
      <c r="J14" s="237">
        <f t="shared" ref="J14:V14" si="3">IF(J2=$E$26,$E$23,0)</f>
        <v>0</v>
      </c>
      <c r="K14" s="237">
        <f t="shared" si="3"/>
        <v>0</v>
      </c>
      <c r="L14" s="237">
        <f t="shared" si="3"/>
        <v>0</v>
      </c>
      <c r="M14" s="237">
        <f t="shared" si="3"/>
        <v>0</v>
      </c>
      <c r="N14" s="237">
        <f t="shared" si="3"/>
        <v>0</v>
      </c>
      <c r="O14" s="237">
        <f t="shared" si="3"/>
        <v>0</v>
      </c>
      <c r="P14" s="237">
        <f t="shared" si="3"/>
        <v>0</v>
      </c>
      <c r="Q14" s="237">
        <f t="shared" si="3"/>
        <v>0</v>
      </c>
      <c r="R14" s="237">
        <f t="shared" si="3"/>
        <v>0</v>
      </c>
      <c r="S14" s="237">
        <f t="shared" si="3"/>
        <v>0</v>
      </c>
      <c r="T14" s="237">
        <f t="shared" si="3"/>
        <v>0</v>
      </c>
      <c r="U14" s="237">
        <f t="shared" si="3"/>
        <v>0</v>
      </c>
      <c r="V14" s="237">
        <f t="shared" si="3"/>
        <v>0</v>
      </c>
      <c r="W14" s="237"/>
      <c r="X14" s="240">
        <f>SUM(J14:V14)</f>
        <v>0</v>
      </c>
    </row>
    <row r="15" spans="3:24" ht="6" customHeight="1" x14ac:dyDescent="0.25">
      <c r="C15" s="24"/>
      <c r="D15" s="206"/>
      <c r="E15" s="206"/>
      <c r="F15" s="206"/>
      <c r="G15" s="206"/>
      <c r="H15" s="206"/>
      <c r="I15" s="206"/>
      <c r="J15" s="237"/>
      <c r="K15" s="237"/>
      <c r="L15" s="237"/>
      <c r="M15" s="237"/>
      <c r="N15" s="237"/>
      <c r="O15" s="237"/>
      <c r="P15" s="237"/>
      <c r="Q15" s="237"/>
      <c r="R15" s="237"/>
      <c r="S15" s="237"/>
      <c r="T15" s="237"/>
      <c r="U15" s="237"/>
      <c r="V15" s="237"/>
      <c r="W15" s="237"/>
      <c r="X15" s="240"/>
    </row>
    <row r="16" spans="3:24" x14ac:dyDescent="0.25">
      <c r="C16" s="24" t="s">
        <v>316</v>
      </c>
      <c r="D16" s="206"/>
      <c r="E16" s="206"/>
      <c r="F16" s="206"/>
      <c r="G16" s="206"/>
      <c r="H16" s="206"/>
      <c r="I16" s="206"/>
      <c r="J16" s="237">
        <f t="array" ref="J16:V16">TRANSPOSE(הנחות!F39:F51)</f>
        <v>20000</v>
      </c>
      <c r="K16" s="237">
        <v>22000</v>
      </c>
      <c r="L16" s="237">
        <v>24000</v>
      </c>
      <c r="M16" s="237">
        <v>26000</v>
      </c>
      <c r="N16" s="237">
        <v>28000</v>
      </c>
      <c r="O16" s="237">
        <v>30000</v>
      </c>
      <c r="P16" s="237">
        <v>32000</v>
      </c>
      <c r="Q16" s="237">
        <v>34000</v>
      </c>
      <c r="R16" s="237">
        <v>36000</v>
      </c>
      <c r="S16" s="237">
        <v>38000</v>
      </c>
      <c r="T16" s="237">
        <v>40000</v>
      </c>
      <c r="U16" s="237">
        <v>42000</v>
      </c>
      <c r="V16" s="237">
        <v>44000</v>
      </c>
      <c r="W16" s="237"/>
      <c r="X16" s="240">
        <f>SUM(J16:V16)</f>
        <v>416000</v>
      </c>
    </row>
    <row r="17" spans="3:24" ht="6" customHeight="1" x14ac:dyDescent="0.25">
      <c r="C17" s="24"/>
      <c r="D17" s="206"/>
      <c r="E17" s="206"/>
      <c r="F17" s="206"/>
      <c r="G17" s="206"/>
      <c r="H17" s="206"/>
      <c r="I17" s="206"/>
      <c r="J17" s="237"/>
      <c r="K17" s="237"/>
      <c r="L17" s="237"/>
      <c r="M17" s="237"/>
      <c r="N17" s="237"/>
      <c r="O17" s="237"/>
      <c r="P17" s="237"/>
      <c r="Q17" s="237"/>
      <c r="R17" s="237"/>
      <c r="S17" s="237"/>
      <c r="T17" s="237"/>
      <c r="U17" s="237"/>
      <c r="V17" s="237"/>
      <c r="W17" s="237"/>
      <c r="X17" s="240"/>
    </row>
    <row r="18" spans="3:24" x14ac:dyDescent="0.25">
      <c r="C18" s="24" t="s">
        <v>317</v>
      </c>
      <c r="D18" s="206"/>
      <c r="E18" s="206"/>
      <c r="F18" s="206"/>
      <c r="G18" s="206"/>
      <c r="H18" s="206"/>
      <c r="I18" s="206"/>
      <c r="J18" s="237">
        <f>-J34</f>
        <v>0</v>
      </c>
      <c r="K18" s="237">
        <f t="shared" ref="K18:V18" si="4">-K34</f>
        <v>0</v>
      </c>
      <c r="L18" s="237">
        <f t="shared" si="4"/>
        <v>0</v>
      </c>
      <c r="M18" s="237">
        <f t="shared" si="4"/>
        <v>0</v>
      </c>
      <c r="N18" s="237">
        <f t="shared" si="4"/>
        <v>0</v>
      </c>
      <c r="O18" s="237">
        <f t="shared" si="4"/>
        <v>0</v>
      </c>
      <c r="P18" s="237">
        <f t="shared" si="4"/>
        <v>0</v>
      </c>
      <c r="Q18" s="237">
        <f t="shared" si="4"/>
        <v>0</v>
      </c>
      <c r="R18" s="237">
        <f t="shared" si="4"/>
        <v>0</v>
      </c>
      <c r="S18" s="237">
        <f t="shared" si="4"/>
        <v>0</v>
      </c>
      <c r="T18" s="237">
        <f t="shared" si="4"/>
        <v>0</v>
      </c>
      <c r="U18" s="237">
        <f t="shared" si="4"/>
        <v>0</v>
      </c>
      <c r="V18" s="237">
        <f t="shared" si="4"/>
        <v>0</v>
      </c>
      <c r="W18" s="237"/>
      <c r="X18" s="240">
        <f>SUM(J18:V18)</f>
        <v>0</v>
      </c>
    </row>
    <row r="19" spans="3:24" ht="6" customHeight="1" x14ac:dyDescent="0.25">
      <c r="C19" s="24"/>
      <c r="D19" s="206"/>
      <c r="E19" s="206"/>
      <c r="F19" s="206"/>
      <c r="G19" s="206"/>
      <c r="H19" s="206"/>
      <c r="I19" s="206"/>
      <c r="J19" s="237"/>
      <c r="K19" s="237"/>
      <c r="L19" s="237"/>
      <c r="M19" s="237"/>
      <c r="N19" s="237"/>
      <c r="O19" s="237"/>
      <c r="P19" s="237"/>
      <c r="Q19" s="237"/>
      <c r="R19" s="237"/>
      <c r="S19" s="237"/>
      <c r="T19" s="237"/>
      <c r="U19" s="237"/>
      <c r="V19" s="237"/>
      <c r="W19" s="237"/>
      <c r="X19" s="240"/>
    </row>
    <row r="20" spans="3:24" ht="16.5" thickBot="1" x14ac:dyDescent="0.3">
      <c r="C20" s="215" t="s">
        <v>251</v>
      </c>
      <c r="D20" s="212"/>
      <c r="E20" s="212"/>
      <c r="F20" s="212"/>
      <c r="G20" s="212"/>
      <c r="H20" s="212"/>
      <c r="I20" s="212"/>
      <c r="J20" s="238">
        <f>SUM(J16,J18)</f>
        <v>20000</v>
      </c>
      <c r="K20" s="238">
        <f t="shared" ref="K20:V20" si="5">SUM(K16,K18)</f>
        <v>22000</v>
      </c>
      <c r="L20" s="238">
        <f t="shared" si="5"/>
        <v>24000</v>
      </c>
      <c r="M20" s="238">
        <f t="shared" si="5"/>
        <v>26000</v>
      </c>
      <c r="N20" s="238">
        <f t="shared" si="5"/>
        <v>28000</v>
      </c>
      <c r="O20" s="238">
        <f t="shared" si="5"/>
        <v>30000</v>
      </c>
      <c r="P20" s="238">
        <f t="shared" si="5"/>
        <v>32000</v>
      </c>
      <c r="Q20" s="238">
        <f t="shared" si="5"/>
        <v>34000</v>
      </c>
      <c r="R20" s="238">
        <f t="shared" si="5"/>
        <v>36000</v>
      </c>
      <c r="S20" s="238">
        <f t="shared" si="5"/>
        <v>38000</v>
      </c>
      <c r="T20" s="238">
        <f t="shared" si="5"/>
        <v>40000</v>
      </c>
      <c r="U20" s="238">
        <f t="shared" si="5"/>
        <v>42000</v>
      </c>
      <c r="V20" s="238">
        <f t="shared" si="5"/>
        <v>44000</v>
      </c>
      <c r="W20" s="238"/>
      <c r="X20" s="241">
        <f>SUM(J20:V20)</f>
        <v>416000</v>
      </c>
    </row>
    <row r="21" spans="3:24" ht="16.5" thickBot="1" x14ac:dyDescent="0.3">
      <c r="C21" s="206"/>
      <c r="D21" s="206"/>
      <c r="E21" s="206"/>
      <c r="F21" s="206"/>
      <c r="G21" s="206"/>
      <c r="H21" s="206"/>
      <c r="I21" s="206"/>
      <c r="J21" s="237"/>
      <c r="K21" s="237"/>
      <c r="L21" s="237"/>
      <c r="M21" s="237"/>
      <c r="N21" s="237"/>
      <c r="O21" s="237"/>
      <c r="P21" s="237"/>
      <c r="Q21" s="237"/>
      <c r="R21" s="237"/>
      <c r="S21" s="237"/>
      <c r="T21" s="237"/>
      <c r="U21" s="237"/>
      <c r="V21" s="237"/>
      <c r="W21" s="237"/>
      <c r="X21" s="237"/>
    </row>
    <row r="22" spans="3:24" ht="16.5" thickBot="1" x14ac:dyDescent="0.3">
      <c r="C22" s="228" t="s">
        <v>244</v>
      </c>
      <c r="D22" s="229"/>
      <c r="E22" s="229"/>
      <c r="F22" s="229"/>
      <c r="G22" s="230"/>
      <c r="H22" s="230"/>
      <c r="I22" s="230"/>
      <c r="J22" s="230"/>
      <c r="K22" s="230"/>
      <c r="L22" s="230"/>
      <c r="M22" s="230"/>
      <c r="N22" s="230"/>
      <c r="O22" s="230"/>
      <c r="P22" s="230"/>
      <c r="Q22" s="230"/>
      <c r="R22" s="230"/>
      <c r="S22" s="230"/>
      <c r="T22" s="230"/>
      <c r="U22" s="230"/>
      <c r="V22" s="230"/>
      <c r="W22" s="230"/>
      <c r="X22" s="231"/>
    </row>
    <row r="23" spans="3:24" ht="16.5" thickBot="1" x14ac:dyDescent="0.3">
      <c r="C23" s="24" t="s">
        <v>234</v>
      </c>
      <c r="D23" s="206"/>
      <c r="E23" s="247">
        <f>הנחות!J59</f>
        <v>0</v>
      </c>
      <c r="F23" s="206"/>
      <c r="H23" s="150"/>
      <c r="I23" s="150"/>
      <c r="J23" s="150"/>
      <c r="K23" s="150"/>
      <c r="L23" s="150"/>
      <c r="M23" s="150"/>
      <c r="N23" s="150"/>
      <c r="O23" s="150"/>
      <c r="P23" s="150"/>
      <c r="Q23" s="150"/>
      <c r="R23" s="150"/>
      <c r="S23" s="150"/>
      <c r="T23" s="150"/>
      <c r="U23" s="150"/>
      <c r="V23" s="150"/>
      <c r="W23" s="150"/>
      <c r="X23" s="234"/>
    </row>
    <row r="24" spans="3:24" ht="16.5" thickBot="1" x14ac:dyDescent="0.3">
      <c r="C24" s="24" t="s">
        <v>235</v>
      </c>
      <c r="D24" s="206"/>
      <c r="E24" s="248">
        <f>הנחות!J60</f>
        <v>0</v>
      </c>
      <c r="F24" s="206"/>
      <c r="H24" s="150"/>
      <c r="I24" s="150"/>
      <c r="J24" s="150"/>
      <c r="K24" s="150"/>
      <c r="L24" s="150"/>
      <c r="M24" s="150"/>
      <c r="N24" s="150"/>
      <c r="O24" s="150"/>
      <c r="P24" s="150"/>
      <c r="Q24" s="150"/>
      <c r="R24" s="150"/>
      <c r="S24" s="150"/>
      <c r="T24" s="150"/>
      <c r="U24" s="150"/>
      <c r="V24" s="150"/>
      <c r="W24" s="150"/>
      <c r="X24" s="234"/>
    </row>
    <row r="25" spans="3:24" ht="16.5" thickBot="1" x14ac:dyDescent="0.3">
      <c r="C25" s="24" t="s">
        <v>236</v>
      </c>
      <c r="D25" s="206"/>
      <c r="E25" s="247">
        <f>הנחות!J61</f>
        <v>0</v>
      </c>
      <c r="F25" s="206"/>
      <c r="H25" s="150"/>
      <c r="I25" s="150"/>
      <c r="J25" s="150"/>
      <c r="K25" s="150"/>
      <c r="L25" s="150"/>
      <c r="M25" s="150"/>
      <c r="N25" s="150"/>
      <c r="O25" s="150"/>
      <c r="P25" s="150"/>
      <c r="Q25" s="150"/>
      <c r="R25" s="150"/>
      <c r="S25" s="150"/>
      <c r="T25" s="150"/>
      <c r="U25" s="150"/>
      <c r="V25" s="150"/>
      <c r="W25" s="150"/>
      <c r="X25" s="234"/>
    </row>
    <row r="26" spans="3:24" ht="16.5" thickBot="1" x14ac:dyDescent="0.3">
      <c r="C26" s="24" t="s">
        <v>242</v>
      </c>
      <c r="D26" s="206"/>
      <c r="E26" s="235">
        <f>הנחות!J62</f>
        <v>0</v>
      </c>
      <c r="F26" s="206"/>
      <c r="H26" s="150"/>
      <c r="I26" s="150"/>
      <c r="J26" s="150"/>
      <c r="K26" s="150"/>
      <c r="L26" s="150"/>
      <c r="M26" s="150"/>
      <c r="N26" s="150"/>
      <c r="O26" s="150"/>
      <c r="P26" s="150"/>
      <c r="Q26" s="150"/>
      <c r="R26" s="150"/>
      <c r="S26" s="150"/>
      <c r="T26" s="150"/>
      <c r="U26" s="150"/>
      <c r="V26" s="150"/>
      <c r="W26" s="150"/>
      <c r="X26" s="234"/>
    </row>
    <row r="27" spans="3:24" x14ac:dyDescent="0.25">
      <c r="C27" s="24" t="s">
        <v>194</v>
      </c>
      <c r="D27" s="206"/>
      <c r="E27" s="233" t="e">
        <f>PMT(E24,E25,-E23)</f>
        <v>#NUM!</v>
      </c>
      <c r="F27" s="206"/>
      <c r="H27" s="150"/>
      <c r="I27" s="150"/>
      <c r="J27" s="150"/>
      <c r="K27" s="150"/>
      <c r="L27" s="150"/>
      <c r="M27" s="150"/>
      <c r="N27" s="150"/>
      <c r="O27" s="150"/>
      <c r="P27" s="150"/>
      <c r="Q27" s="150"/>
      <c r="R27" s="150"/>
      <c r="S27" s="150"/>
      <c r="T27" s="150"/>
      <c r="U27" s="150"/>
      <c r="V27" s="150"/>
      <c r="W27" s="150"/>
      <c r="X27" s="234"/>
    </row>
    <row r="28" spans="3:24" x14ac:dyDescent="0.25">
      <c r="C28" s="24"/>
      <c r="D28" s="206"/>
      <c r="E28" s="206"/>
      <c r="F28" s="206"/>
      <c r="G28" s="236"/>
      <c r="H28" s="150"/>
      <c r="I28" s="150"/>
      <c r="J28" s="150"/>
      <c r="K28" s="150"/>
      <c r="L28" s="150"/>
      <c r="M28" s="150"/>
      <c r="N28" s="150"/>
      <c r="O28" s="150"/>
      <c r="P28" s="150"/>
      <c r="Q28" s="150"/>
      <c r="R28" s="150"/>
      <c r="S28" s="150"/>
      <c r="T28" s="150"/>
      <c r="U28" s="150"/>
      <c r="V28" s="150"/>
      <c r="W28" s="150"/>
      <c r="X28" s="234"/>
    </row>
    <row r="29" spans="3:24" x14ac:dyDescent="0.25">
      <c r="C29" s="24" t="s">
        <v>237</v>
      </c>
      <c r="D29" s="206"/>
      <c r="E29" s="206"/>
      <c r="F29" s="206"/>
      <c r="G29" s="150"/>
      <c r="H29" s="150"/>
      <c r="I29" s="150"/>
      <c r="J29" s="236">
        <f>J2</f>
        <v>43983</v>
      </c>
      <c r="K29" s="236">
        <f t="shared" ref="K29:V29" si="6">K2</f>
        <v>44013</v>
      </c>
      <c r="L29" s="236">
        <f t="shared" si="6"/>
        <v>44044</v>
      </c>
      <c r="M29" s="236">
        <f t="shared" si="6"/>
        <v>44075</v>
      </c>
      <c r="N29" s="236">
        <f t="shared" si="6"/>
        <v>44105</v>
      </c>
      <c r="O29" s="236">
        <f t="shared" si="6"/>
        <v>44136</v>
      </c>
      <c r="P29" s="236">
        <f t="shared" si="6"/>
        <v>44166</v>
      </c>
      <c r="Q29" s="236">
        <f t="shared" si="6"/>
        <v>44197</v>
      </c>
      <c r="R29" s="236">
        <f t="shared" si="6"/>
        <v>44228</v>
      </c>
      <c r="S29" s="236">
        <f t="shared" si="6"/>
        <v>44256</v>
      </c>
      <c r="T29" s="236">
        <f t="shared" si="6"/>
        <v>44287</v>
      </c>
      <c r="U29" s="236">
        <f t="shared" si="6"/>
        <v>44317</v>
      </c>
      <c r="V29" s="236">
        <f t="shared" si="6"/>
        <v>44348</v>
      </c>
      <c r="W29" s="150"/>
      <c r="X29" s="234"/>
    </row>
    <row r="30" spans="3:24" x14ac:dyDescent="0.25">
      <c r="C30" s="24" t="s">
        <v>238</v>
      </c>
      <c r="D30" s="206"/>
      <c r="E30" s="206"/>
      <c r="F30" s="206"/>
      <c r="G30" s="150"/>
      <c r="H30" s="150"/>
      <c r="I30" s="150"/>
      <c r="J30" s="236">
        <f>EDATE(J29,1)</f>
        <v>44013</v>
      </c>
      <c r="K30" s="236">
        <f t="shared" ref="K30:V30" si="7">EDATE(K29,1)</f>
        <v>44044</v>
      </c>
      <c r="L30" s="236">
        <f t="shared" si="7"/>
        <v>44075</v>
      </c>
      <c r="M30" s="236">
        <f t="shared" si="7"/>
        <v>44105</v>
      </c>
      <c r="N30" s="236">
        <f t="shared" si="7"/>
        <v>44136</v>
      </c>
      <c r="O30" s="236">
        <f t="shared" si="7"/>
        <v>44166</v>
      </c>
      <c r="P30" s="236">
        <f t="shared" si="7"/>
        <v>44197</v>
      </c>
      <c r="Q30" s="236">
        <f t="shared" si="7"/>
        <v>44228</v>
      </c>
      <c r="R30" s="236">
        <f t="shared" si="7"/>
        <v>44256</v>
      </c>
      <c r="S30" s="236">
        <f t="shared" si="7"/>
        <v>44287</v>
      </c>
      <c r="T30" s="236">
        <f t="shared" si="7"/>
        <v>44317</v>
      </c>
      <c r="U30" s="236">
        <f t="shared" si="7"/>
        <v>44348</v>
      </c>
      <c r="V30" s="236">
        <f t="shared" si="7"/>
        <v>44378</v>
      </c>
      <c r="W30" s="150"/>
      <c r="X30" s="234"/>
    </row>
    <row r="31" spans="3:24" x14ac:dyDescent="0.25">
      <c r="C31" s="24" t="s">
        <v>20</v>
      </c>
      <c r="D31" s="206"/>
      <c r="E31" s="206"/>
      <c r="F31" s="206"/>
      <c r="G31" s="237"/>
      <c r="H31" s="150"/>
      <c r="I31" s="150"/>
      <c r="J31" s="237">
        <f t="shared" ref="J31:V31" si="8">IF($E$26=J29,$E$23,I35)</f>
        <v>0</v>
      </c>
      <c r="K31" s="237">
        <f t="shared" si="8"/>
        <v>0</v>
      </c>
      <c r="L31" s="237">
        <f t="shared" si="8"/>
        <v>0</v>
      </c>
      <c r="M31" s="237">
        <f t="shared" si="8"/>
        <v>0</v>
      </c>
      <c r="N31" s="237">
        <f t="shared" si="8"/>
        <v>0</v>
      </c>
      <c r="O31" s="237">
        <f t="shared" si="8"/>
        <v>0</v>
      </c>
      <c r="P31" s="237">
        <f t="shared" si="8"/>
        <v>0</v>
      </c>
      <c r="Q31" s="237">
        <f t="shared" si="8"/>
        <v>0</v>
      </c>
      <c r="R31" s="237">
        <f t="shared" si="8"/>
        <v>0</v>
      </c>
      <c r="S31" s="237">
        <f t="shared" si="8"/>
        <v>0</v>
      </c>
      <c r="T31" s="237">
        <f t="shared" si="8"/>
        <v>0</v>
      </c>
      <c r="U31" s="237">
        <f t="shared" si="8"/>
        <v>0</v>
      </c>
      <c r="V31" s="237">
        <f t="shared" si="8"/>
        <v>0</v>
      </c>
      <c r="W31" s="150"/>
      <c r="X31" s="234"/>
    </row>
    <row r="32" spans="3:24" x14ac:dyDescent="0.25">
      <c r="C32" s="24" t="s">
        <v>239</v>
      </c>
      <c r="D32" s="206"/>
      <c r="E32" s="206"/>
      <c r="F32" s="206"/>
      <c r="G32" s="237"/>
      <c r="H32" s="150"/>
      <c r="I32" s="150"/>
      <c r="J32" s="237">
        <f t="shared" ref="J32:V32" si="9">J31*$E$24</f>
        <v>0</v>
      </c>
      <c r="K32" s="237">
        <f t="shared" si="9"/>
        <v>0</v>
      </c>
      <c r="L32" s="237">
        <f t="shared" si="9"/>
        <v>0</v>
      </c>
      <c r="M32" s="237">
        <f t="shared" si="9"/>
        <v>0</v>
      </c>
      <c r="N32" s="237">
        <f t="shared" si="9"/>
        <v>0</v>
      </c>
      <c r="O32" s="237">
        <f t="shared" si="9"/>
        <v>0</v>
      </c>
      <c r="P32" s="237">
        <f t="shared" si="9"/>
        <v>0</v>
      </c>
      <c r="Q32" s="237">
        <f t="shared" si="9"/>
        <v>0</v>
      </c>
      <c r="R32" s="237">
        <f t="shared" si="9"/>
        <v>0</v>
      </c>
      <c r="S32" s="237">
        <f t="shared" si="9"/>
        <v>0</v>
      </c>
      <c r="T32" s="237">
        <f t="shared" si="9"/>
        <v>0</v>
      </c>
      <c r="U32" s="237">
        <f t="shared" si="9"/>
        <v>0</v>
      </c>
      <c r="V32" s="237">
        <f t="shared" si="9"/>
        <v>0</v>
      </c>
      <c r="W32" s="150"/>
      <c r="X32" s="234"/>
    </row>
    <row r="33" spans="3:24" x14ac:dyDescent="0.25">
      <c r="C33" s="24" t="s">
        <v>240</v>
      </c>
      <c r="D33" s="206"/>
      <c r="E33" s="206"/>
      <c r="F33" s="206"/>
      <c r="G33" s="237"/>
      <c r="H33" s="150"/>
      <c r="I33" s="150"/>
      <c r="J33" s="237">
        <f t="shared" ref="J33:V33" si="10">IF(J31&gt;10,-$E$27,0)</f>
        <v>0</v>
      </c>
      <c r="K33" s="237">
        <f t="shared" si="10"/>
        <v>0</v>
      </c>
      <c r="L33" s="237">
        <f t="shared" si="10"/>
        <v>0</v>
      </c>
      <c r="M33" s="237">
        <f t="shared" si="10"/>
        <v>0</v>
      </c>
      <c r="N33" s="237">
        <f t="shared" si="10"/>
        <v>0</v>
      </c>
      <c r="O33" s="237">
        <f t="shared" si="10"/>
        <v>0</v>
      </c>
      <c r="P33" s="237">
        <f t="shared" si="10"/>
        <v>0</v>
      </c>
      <c r="Q33" s="237">
        <f t="shared" si="10"/>
        <v>0</v>
      </c>
      <c r="R33" s="237">
        <f t="shared" si="10"/>
        <v>0</v>
      </c>
      <c r="S33" s="237">
        <f t="shared" si="10"/>
        <v>0</v>
      </c>
      <c r="T33" s="237">
        <f t="shared" si="10"/>
        <v>0</v>
      </c>
      <c r="U33" s="237">
        <f t="shared" si="10"/>
        <v>0</v>
      </c>
      <c r="V33" s="237">
        <f t="shared" si="10"/>
        <v>0</v>
      </c>
      <c r="W33" s="150"/>
      <c r="X33" s="234"/>
    </row>
    <row r="34" spans="3:24" x14ac:dyDescent="0.25">
      <c r="C34" s="24" t="s">
        <v>241</v>
      </c>
      <c r="D34" s="206"/>
      <c r="E34" s="206"/>
      <c r="F34" s="206"/>
      <c r="G34" s="237"/>
      <c r="H34" s="150"/>
      <c r="I34" s="150"/>
      <c r="J34" s="237">
        <f>SUM(J32:J33)</f>
        <v>0</v>
      </c>
      <c r="K34" s="237">
        <f t="shared" ref="K34:V34" si="11">SUM(K32:K33)</f>
        <v>0</v>
      </c>
      <c r="L34" s="237">
        <f t="shared" si="11"/>
        <v>0</v>
      </c>
      <c r="M34" s="237">
        <f t="shared" si="11"/>
        <v>0</v>
      </c>
      <c r="N34" s="237">
        <f t="shared" si="11"/>
        <v>0</v>
      </c>
      <c r="O34" s="237">
        <f t="shared" si="11"/>
        <v>0</v>
      </c>
      <c r="P34" s="237">
        <f t="shared" si="11"/>
        <v>0</v>
      </c>
      <c r="Q34" s="237">
        <f t="shared" si="11"/>
        <v>0</v>
      </c>
      <c r="R34" s="237">
        <f t="shared" si="11"/>
        <v>0</v>
      </c>
      <c r="S34" s="237">
        <f t="shared" si="11"/>
        <v>0</v>
      </c>
      <c r="T34" s="237">
        <f t="shared" si="11"/>
        <v>0</v>
      </c>
      <c r="U34" s="237">
        <f t="shared" si="11"/>
        <v>0</v>
      </c>
      <c r="V34" s="237">
        <f t="shared" si="11"/>
        <v>0</v>
      </c>
      <c r="W34" s="150"/>
      <c r="X34" s="234"/>
    </row>
    <row r="35" spans="3:24" ht="16.5" thickBot="1" x14ac:dyDescent="0.3">
      <c r="C35" s="215" t="s">
        <v>22</v>
      </c>
      <c r="D35" s="212"/>
      <c r="E35" s="238">
        <v>0</v>
      </c>
      <c r="F35" s="212"/>
      <c r="G35" s="220"/>
      <c r="H35" s="220"/>
      <c r="I35" s="220"/>
      <c r="J35" s="238">
        <f>MAX(SUM(J31:J33),0)</f>
        <v>0</v>
      </c>
      <c r="K35" s="238">
        <f t="shared" ref="K35:V35" si="12">MAX(SUM(K31:K33),0)</f>
        <v>0</v>
      </c>
      <c r="L35" s="238">
        <f t="shared" si="12"/>
        <v>0</v>
      </c>
      <c r="M35" s="238">
        <f t="shared" si="12"/>
        <v>0</v>
      </c>
      <c r="N35" s="238">
        <f t="shared" si="12"/>
        <v>0</v>
      </c>
      <c r="O35" s="238">
        <f t="shared" si="12"/>
        <v>0</v>
      </c>
      <c r="P35" s="238">
        <f t="shared" si="12"/>
        <v>0</v>
      </c>
      <c r="Q35" s="238">
        <f t="shared" si="12"/>
        <v>0</v>
      </c>
      <c r="R35" s="238">
        <f t="shared" si="12"/>
        <v>0</v>
      </c>
      <c r="S35" s="238">
        <f t="shared" si="12"/>
        <v>0</v>
      </c>
      <c r="T35" s="238">
        <f t="shared" si="12"/>
        <v>0</v>
      </c>
      <c r="U35" s="238">
        <f t="shared" si="12"/>
        <v>0</v>
      </c>
      <c r="V35" s="238">
        <f t="shared" si="12"/>
        <v>0</v>
      </c>
      <c r="W35" s="220"/>
      <c r="X35" s="239"/>
    </row>
    <row r="36" spans="3:24" ht="16.5" thickBot="1" x14ac:dyDescent="0.3">
      <c r="L36" s="204"/>
    </row>
    <row r="37" spans="3:24" x14ac:dyDescent="0.25">
      <c r="C37" s="228" t="s">
        <v>19</v>
      </c>
      <c r="D37" s="230"/>
      <c r="E37" s="230"/>
      <c r="F37" s="230"/>
      <c r="G37" s="230"/>
      <c r="H37" s="230"/>
      <c r="I37" s="230"/>
      <c r="J37" s="244"/>
      <c r="K37" s="230"/>
      <c r="L37" s="245"/>
      <c r="M37" s="230"/>
      <c r="N37" s="230"/>
      <c r="O37" s="230"/>
      <c r="P37" s="230"/>
      <c r="Q37" s="230"/>
      <c r="R37" s="230"/>
      <c r="S37" s="230"/>
      <c r="T37" s="230"/>
      <c r="U37" s="230"/>
      <c r="V37" s="230"/>
      <c r="W37" s="230"/>
      <c r="X37" s="231"/>
    </row>
    <row r="38" spans="3:24" ht="16.5" thickBot="1" x14ac:dyDescent="0.3">
      <c r="C38" s="24"/>
      <c r="D38" s="206"/>
      <c r="E38" s="206"/>
      <c r="F38" s="206"/>
      <c r="G38" s="206"/>
      <c r="H38" s="206"/>
      <c r="I38" s="206"/>
      <c r="J38" s="206"/>
      <c r="K38" s="206"/>
      <c r="L38" s="206"/>
      <c r="M38" s="206"/>
      <c r="N38" s="206"/>
      <c r="O38" s="206"/>
      <c r="P38" s="206"/>
      <c r="Q38" s="206"/>
      <c r="R38" s="206"/>
      <c r="S38" s="206"/>
      <c r="T38" s="206"/>
      <c r="U38" s="206"/>
      <c r="V38" s="206"/>
      <c r="W38" s="206"/>
      <c r="X38" s="232"/>
    </row>
    <row r="39" spans="3:24" ht="16.5" thickBot="1" x14ac:dyDescent="0.3">
      <c r="C39" s="24" t="s">
        <v>252</v>
      </c>
      <c r="D39" s="206"/>
      <c r="E39" s="246">
        <f>הנחות!F8</f>
        <v>1000000</v>
      </c>
      <c r="F39" s="206"/>
      <c r="H39" s="237"/>
      <c r="I39" s="237"/>
      <c r="J39" s="237">
        <f>E39</f>
        <v>1000000</v>
      </c>
      <c r="K39" s="237">
        <f>J43</f>
        <v>-242025</v>
      </c>
      <c r="L39" s="237">
        <f t="shared" ref="L39:V39" si="13">K43</f>
        <v>-259050</v>
      </c>
      <c r="M39" s="237">
        <f t="shared" si="13"/>
        <v>-427300</v>
      </c>
      <c r="N39" s="237">
        <f t="shared" si="13"/>
        <v>-595550</v>
      </c>
      <c r="O39" s="237">
        <f t="shared" si="13"/>
        <v>-763800</v>
      </c>
      <c r="P39" s="237">
        <f t="shared" si="13"/>
        <v>-932050</v>
      </c>
      <c r="Q39" s="237">
        <f t="shared" si="13"/>
        <v>-1129105</v>
      </c>
      <c r="R39" s="237">
        <f t="shared" si="13"/>
        <v>-1109965</v>
      </c>
      <c r="S39" s="237">
        <f t="shared" si="13"/>
        <v>-829655</v>
      </c>
      <c r="T39" s="237">
        <f t="shared" si="13"/>
        <v>-1441005</v>
      </c>
      <c r="U39" s="237">
        <f t="shared" si="13"/>
        <v>-1135425</v>
      </c>
      <c r="V39" s="237">
        <f t="shared" si="13"/>
        <v>-824385</v>
      </c>
      <c r="W39" s="206"/>
      <c r="X39" s="232"/>
    </row>
    <row r="40" spans="3:24" ht="6" customHeight="1" x14ac:dyDescent="0.25">
      <c r="C40" s="24"/>
      <c r="D40" s="206"/>
      <c r="E40" s="206"/>
      <c r="F40" s="206"/>
      <c r="G40" s="237"/>
      <c r="H40" s="237"/>
      <c r="I40" s="237"/>
      <c r="J40" s="237"/>
      <c r="K40" s="237"/>
      <c r="L40" s="237"/>
      <c r="M40" s="237"/>
      <c r="N40" s="237"/>
      <c r="O40" s="237"/>
      <c r="P40" s="237"/>
      <c r="Q40" s="237"/>
      <c r="R40" s="237"/>
      <c r="S40" s="237"/>
      <c r="T40" s="237"/>
      <c r="U40" s="237"/>
      <c r="V40" s="237"/>
      <c r="W40" s="206"/>
      <c r="X40" s="232"/>
    </row>
    <row r="41" spans="3:24" x14ac:dyDescent="0.25">
      <c r="C41" s="24" t="s">
        <v>21</v>
      </c>
      <c r="D41" s="206"/>
      <c r="E41" s="206"/>
      <c r="F41" s="206"/>
      <c r="G41" s="237"/>
      <c r="H41" s="237"/>
      <c r="I41" s="237"/>
      <c r="J41" s="237">
        <f>תזרים!J39</f>
        <v>-1242025</v>
      </c>
      <c r="K41" s="237">
        <f>תזרים!K39</f>
        <v>-17025</v>
      </c>
      <c r="L41" s="237">
        <f>תזרים!L39</f>
        <v>-168250</v>
      </c>
      <c r="M41" s="237">
        <f>תזרים!M39</f>
        <v>-168250</v>
      </c>
      <c r="N41" s="237">
        <f>תזרים!N39</f>
        <v>-168250</v>
      </c>
      <c r="O41" s="237">
        <f>תזרים!O39</f>
        <v>-168250</v>
      </c>
      <c r="P41" s="237">
        <f>תזרים!P39</f>
        <v>-197055</v>
      </c>
      <c r="Q41" s="237">
        <f>תזרים!Q39</f>
        <v>19140</v>
      </c>
      <c r="R41" s="237">
        <f>תזרים!R39</f>
        <v>280310</v>
      </c>
      <c r="S41" s="237">
        <f>תזרים!S39</f>
        <v>-611350</v>
      </c>
      <c r="T41" s="237">
        <f>תזרים!T39</f>
        <v>305580</v>
      </c>
      <c r="U41" s="237">
        <f>תזרים!U39</f>
        <v>311040</v>
      </c>
      <c r="V41" s="237">
        <f>תזרים!V39</f>
        <v>456990</v>
      </c>
      <c r="W41" s="206"/>
      <c r="X41" s="232"/>
    </row>
    <row r="42" spans="3:24" ht="6" customHeight="1" x14ac:dyDescent="0.25">
      <c r="C42" s="24"/>
      <c r="D42" s="206"/>
      <c r="E42" s="206"/>
      <c r="F42" s="206"/>
      <c r="G42" s="237"/>
      <c r="H42" s="237"/>
      <c r="I42" s="237"/>
      <c r="J42" s="237"/>
      <c r="K42" s="237"/>
      <c r="L42" s="237"/>
      <c r="M42" s="237"/>
      <c r="N42" s="237"/>
      <c r="O42" s="237"/>
      <c r="P42" s="237"/>
      <c r="Q42" s="237"/>
      <c r="R42" s="237"/>
      <c r="S42" s="237"/>
      <c r="T42" s="237"/>
      <c r="U42" s="237"/>
      <c r="V42" s="237"/>
      <c r="W42" s="206"/>
      <c r="X42" s="232"/>
    </row>
    <row r="43" spans="3:24" x14ac:dyDescent="0.25">
      <c r="C43" s="24" t="s">
        <v>253</v>
      </c>
      <c r="D43" s="206"/>
      <c r="E43" s="206"/>
      <c r="F43" s="206"/>
      <c r="G43" s="237"/>
      <c r="H43" s="237"/>
      <c r="I43" s="237"/>
      <c r="J43" s="237">
        <f>SUM(J39,J41)</f>
        <v>-242025</v>
      </c>
      <c r="K43" s="237">
        <f t="shared" ref="K43:V43" si="14">SUM(K39,K41)</f>
        <v>-259050</v>
      </c>
      <c r="L43" s="237">
        <f t="shared" si="14"/>
        <v>-427300</v>
      </c>
      <c r="M43" s="237">
        <f t="shared" si="14"/>
        <v>-595550</v>
      </c>
      <c r="N43" s="237">
        <f t="shared" si="14"/>
        <v>-763800</v>
      </c>
      <c r="O43" s="237">
        <f t="shared" si="14"/>
        <v>-932050</v>
      </c>
      <c r="P43" s="237">
        <f t="shared" si="14"/>
        <v>-1129105</v>
      </c>
      <c r="Q43" s="237">
        <f t="shared" si="14"/>
        <v>-1109965</v>
      </c>
      <c r="R43" s="237">
        <f t="shared" si="14"/>
        <v>-829655</v>
      </c>
      <c r="S43" s="237">
        <f t="shared" si="14"/>
        <v>-1441005</v>
      </c>
      <c r="T43" s="237">
        <f t="shared" si="14"/>
        <v>-1135425</v>
      </c>
      <c r="U43" s="237">
        <f t="shared" si="14"/>
        <v>-824385</v>
      </c>
      <c r="V43" s="237">
        <f t="shared" si="14"/>
        <v>-367395</v>
      </c>
      <c r="W43" s="206"/>
      <c r="X43" s="232"/>
    </row>
    <row r="44" spans="3:24" ht="16.5" thickBot="1" x14ac:dyDescent="0.3">
      <c r="C44" s="215"/>
      <c r="D44" s="212"/>
      <c r="E44" s="212"/>
      <c r="F44" s="212"/>
      <c r="G44" s="238"/>
      <c r="H44" s="238"/>
      <c r="I44" s="238"/>
      <c r="J44" s="238"/>
      <c r="K44" s="238"/>
      <c r="L44" s="238"/>
      <c r="M44" s="238"/>
      <c r="N44" s="238"/>
      <c r="O44" s="238"/>
      <c r="P44" s="238"/>
      <c r="Q44" s="238"/>
      <c r="R44" s="238"/>
      <c r="S44" s="238"/>
      <c r="T44" s="238"/>
      <c r="U44" s="238"/>
      <c r="V44" s="238"/>
      <c r="W44" s="212"/>
      <c r="X44" s="21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AT75"/>
  <sheetViews>
    <sheetView showGridLines="0" rightToLeft="1" zoomScale="85" zoomScaleNormal="85" workbookViewId="0">
      <selection activeCell="J60" sqref="J60"/>
    </sheetView>
  </sheetViews>
  <sheetFormatPr defaultRowHeight="15" outlineLevelRow="1" x14ac:dyDescent="0.25"/>
  <cols>
    <col min="1" max="2" width="4" style="7" customWidth="1"/>
    <col min="3" max="3" width="29" style="7" bestFit="1" customWidth="1"/>
    <col min="4" max="7" width="1" style="7" customWidth="1"/>
    <col min="8" max="8" width="7.85546875" style="7" customWidth="1"/>
    <col min="9" max="9" width="9.7109375" style="7" customWidth="1"/>
    <col min="10" max="22" width="11.28515625" style="7" bestFit="1" customWidth="1"/>
    <col min="23" max="23" width="12.28515625" style="7" bestFit="1" customWidth="1"/>
    <col min="24" max="26" width="9.140625" style="7"/>
    <col min="27" max="31" width="0.7109375" style="7" customWidth="1"/>
    <col min="32" max="44" width="11.28515625" style="7" bestFit="1" customWidth="1"/>
    <col min="45" max="45" width="12.28515625" style="7" bestFit="1" customWidth="1"/>
    <col min="46" max="16384" width="9.140625" style="7"/>
  </cols>
  <sheetData>
    <row r="1" spans="3:23" ht="15.75" thickBot="1" x14ac:dyDescent="0.3"/>
    <row r="2" spans="3:23" ht="15.75" x14ac:dyDescent="0.25">
      <c r="C2" s="22" t="s">
        <v>139</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20" t="s">
        <v>23</v>
      </c>
    </row>
    <row r="3" spans="3:23" x14ac:dyDescent="0.25">
      <c r="C3" s="10"/>
      <c r="D3" s="1"/>
      <c r="E3" s="1"/>
      <c r="F3" s="1"/>
      <c r="G3" s="1"/>
      <c r="H3" s="1"/>
      <c r="I3" s="1"/>
      <c r="J3" s="1"/>
      <c r="K3" s="1"/>
      <c r="L3" s="1"/>
      <c r="M3" s="1"/>
      <c r="N3" s="1"/>
      <c r="O3" s="1"/>
      <c r="P3" s="1"/>
      <c r="Q3" s="1"/>
      <c r="R3" s="1"/>
      <c r="S3" s="1"/>
      <c r="T3" s="1"/>
      <c r="U3" s="1"/>
      <c r="V3" s="1"/>
      <c r="W3" s="155"/>
    </row>
    <row r="4" spans="3:23" x14ac:dyDescent="0.25">
      <c r="C4" s="189" t="s">
        <v>275</v>
      </c>
      <c r="D4" s="1"/>
      <c r="E4" s="1"/>
      <c r="F4" s="1"/>
      <c r="G4" s="70"/>
      <c r="H4" s="1"/>
      <c r="I4" s="1"/>
      <c r="J4" s="151">
        <f>הכנסות!J69</f>
        <v>1750000</v>
      </c>
      <c r="K4" s="151">
        <f>הכנסות!K69</f>
        <v>1750000</v>
      </c>
      <c r="L4" s="151">
        <f>הכנסות!L69</f>
        <v>1750000</v>
      </c>
      <c r="M4" s="151">
        <f>הכנסות!M69</f>
        <v>1750000</v>
      </c>
      <c r="N4" s="151">
        <f>הכנסות!N69</f>
        <v>1750000</v>
      </c>
      <c r="O4" s="151">
        <f>הכנסות!O69</f>
        <v>1750000</v>
      </c>
      <c r="P4" s="151">
        <f>הכנסות!P69</f>
        <v>2100000</v>
      </c>
      <c r="Q4" s="151">
        <f>הכנסות!Q69</f>
        <v>2450000</v>
      </c>
      <c r="R4" s="151">
        <f>הכנסות!R69</f>
        <v>1400000</v>
      </c>
      <c r="S4" s="151">
        <f>הכנסות!S69</f>
        <v>2450000</v>
      </c>
      <c r="T4" s="151">
        <f>הכנסות!T69</f>
        <v>2800000</v>
      </c>
      <c r="U4" s="151">
        <f>הכנסות!U69</f>
        <v>3150000</v>
      </c>
      <c r="V4" s="151">
        <f>הכנסות!V69</f>
        <v>3500000</v>
      </c>
      <c r="W4" s="254">
        <f>SUM(J4:V4)</f>
        <v>28350000</v>
      </c>
    </row>
    <row r="5" spans="3:23" x14ac:dyDescent="0.25">
      <c r="C5" s="189"/>
      <c r="D5" s="1"/>
      <c r="E5" s="1"/>
      <c r="F5" s="1"/>
      <c r="G5" s="70"/>
      <c r="H5" s="1"/>
      <c r="I5" s="1"/>
      <c r="J5" s="151"/>
      <c r="K5" s="151"/>
      <c r="L5" s="151"/>
      <c r="M5" s="151"/>
      <c r="N5" s="151"/>
      <c r="O5" s="151"/>
      <c r="P5" s="151"/>
      <c r="Q5" s="151"/>
      <c r="R5" s="151"/>
      <c r="S5" s="151"/>
      <c r="T5" s="151"/>
      <c r="U5" s="151"/>
      <c r="V5" s="151"/>
      <c r="W5" s="155"/>
    </row>
    <row r="6" spans="3:23" x14ac:dyDescent="0.25">
      <c r="C6" s="189" t="s">
        <v>7</v>
      </c>
      <c r="D6" s="1"/>
      <c r="E6" s="1"/>
      <c r="F6" s="1"/>
      <c r="G6" s="1"/>
      <c r="H6" s="1"/>
      <c r="I6" s="1"/>
      <c r="J6" s="154">
        <f>-הוצאות!J119</f>
        <v>-2108250</v>
      </c>
      <c r="K6" s="154">
        <f>-הוצאות!K119</f>
        <v>-2106250</v>
      </c>
      <c r="L6" s="154">
        <f>-הוצאות!L119</f>
        <v>-2104250</v>
      </c>
      <c r="M6" s="154">
        <f>-הוצאות!M119</f>
        <v>-2102250</v>
      </c>
      <c r="N6" s="154">
        <f>-הוצאות!N119</f>
        <v>-2100250</v>
      </c>
      <c r="O6" s="154">
        <f>-הוצאות!O119</f>
        <v>-2098250</v>
      </c>
      <c r="P6" s="154">
        <f>-הוצאות!P119</f>
        <v>-2300300</v>
      </c>
      <c r="Q6" s="154">
        <f>-הוצאות!Q119</f>
        <v>-2502350</v>
      </c>
      <c r="R6" s="154">
        <f>-הוצאות!R119</f>
        <v>-1888200</v>
      </c>
      <c r="S6" s="154">
        <f>-הוצאות!S119</f>
        <v>-2498350</v>
      </c>
      <c r="T6" s="154">
        <f>-הוצאות!T119</f>
        <v>-2700400</v>
      </c>
      <c r="U6" s="154">
        <f>-הוצאות!U119</f>
        <v>-2902450</v>
      </c>
      <c r="V6" s="154">
        <f>-הוצאות!V119</f>
        <v>-3104500</v>
      </c>
      <c r="W6" s="254">
        <f>SUM(J6:V6)</f>
        <v>-30516050</v>
      </c>
    </row>
    <row r="7" spans="3:23" x14ac:dyDescent="0.25">
      <c r="C7" s="189"/>
      <c r="D7" s="1"/>
      <c r="E7" s="1"/>
      <c r="F7" s="1"/>
      <c r="G7" s="1"/>
      <c r="H7" s="1"/>
      <c r="I7" s="1"/>
      <c r="J7" s="154"/>
      <c r="K7" s="154"/>
      <c r="L7" s="154"/>
      <c r="M7" s="154"/>
      <c r="N7" s="154"/>
      <c r="O7" s="154"/>
      <c r="P7" s="154"/>
      <c r="Q7" s="154"/>
      <c r="R7" s="154"/>
      <c r="S7" s="154"/>
      <c r="T7" s="154"/>
      <c r="U7" s="154"/>
      <c r="V7" s="154"/>
      <c r="W7" s="155"/>
    </row>
    <row r="8" spans="3:23" x14ac:dyDescent="0.25">
      <c r="C8" s="189" t="s">
        <v>291</v>
      </c>
      <c r="D8" s="1"/>
      <c r="E8" s="1"/>
      <c r="F8" s="1"/>
      <c r="G8" s="1"/>
      <c r="H8" s="1"/>
      <c r="I8" s="1"/>
      <c r="J8" s="185">
        <f t="shared" ref="J8:V8" si="1">SUM(J4,J6)</f>
        <v>-358250</v>
      </c>
      <c r="K8" s="185">
        <f t="shared" si="1"/>
        <v>-356250</v>
      </c>
      <c r="L8" s="185">
        <f t="shared" si="1"/>
        <v>-354250</v>
      </c>
      <c r="M8" s="185">
        <f t="shared" si="1"/>
        <v>-352250</v>
      </c>
      <c r="N8" s="185">
        <f t="shared" si="1"/>
        <v>-350250</v>
      </c>
      <c r="O8" s="185">
        <f t="shared" si="1"/>
        <v>-348250</v>
      </c>
      <c r="P8" s="185">
        <f t="shared" si="1"/>
        <v>-200300</v>
      </c>
      <c r="Q8" s="185">
        <f t="shared" si="1"/>
        <v>-52350</v>
      </c>
      <c r="R8" s="185">
        <f t="shared" si="1"/>
        <v>-488200</v>
      </c>
      <c r="S8" s="185">
        <f t="shared" si="1"/>
        <v>-48350</v>
      </c>
      <c r="T8" s="185">
        <f t="shared" si="1"/>
        <v>99600</v>
      </c>
      <c r="U8" s="185">
        <f t="shared" si="1"/>
        <v>247550</v>
      </c>
      <c r="V8" s="185">
        <f t="shared" si="1"/>
        <v>395500</v>
      </c>
      <c r="W8" s="254">
        <f>SUM(J8:V8)</f>
        <v>-2166050</v>
      </c>
    </row>
    <row r="9" spans="3:23" ht="15.75" hidden="1" outlineLevel="1" thickBot="1" x14ac:dyDescent="0.3">
      <c r="C9" s="189"/>
      <c r="D9" s="1"/>
      <c r="E9" s="1"/>
      <c r="F9" s="1"/>
      <c r="G9" s="1"/>
      <c r="H9" s="1"/>
      <c r="I9" s="1"/>
      <c r="J9" s="185"/>
      <c r="K9" s="185"/>
      <c r="L9" s="185"/>
      <c r="M9" s="185"/>
      <c r="N9" s="185"/>
      <c r="O9" s="185"/>
      <c r="P9" s="185"/>
      <c r="Q9" s="185"/>
      <c r="R9" s="185"/>
      <c r="S9" s="185"/>
      <c r="T9" s="185"/>
      <c r="U9" s="185"/>
      <c r="V9" s="185"/>
      <c r="W9" s="254"/>
    </row>
    <row r="10" spans="3:23" ht="16.5" hidden="1" outlineLevel="1" thickBot="1" x14ac:dyDescent="0.3">
      <c r="C10" s="9" t="s">
        <v>152</v>
      </c>
      <c r="D10" s="1"/>
      <c r="E10" s="152">
        <f>-הנחות!F16</f>
        <v>0</v>
      </c>
      <c r="F10" s="1"/>
      <c r="G10" s="1"/>
      <c r="H10" s="1"/>
      <c r="I10" s="1"/>
      <c r="J10" s="159">
        <f>E10</f>
        <v>0</v>
      </c>
      <c r="K10" s="185">
        <f>J13</f>
        <v>-358250</v>
      </c>
      <c r="L10" s="185">
        <f t="shared" ref="L10:V10" si="2">K13</f>
        <v>-714500</v>
      </c>
      <c r="M10" s="185">
        <f t="shared" si="2"/>
        <v>-1068750</v>
      </c>
      <c r="N10" s="185">
        <f t="shared" si="2"/>
        <v>-1421000</v>
      </c>
      <c r="O10" s="185">
        <f t="shared" si="2"/>
        <v>-1771250</v>
      </c>
      <c r="P10" s="185">
        <f t="shared" si="2"/>
        <v>-2119500</v>
      </c>
      <c r="Q10" s="185">
        <f t="shared" si="2"/>
        <v>-2319800</v>
      </c>
      <c r="R10" s="185">
        <f t="shared" si="2"/>
        <v>-2372150</v>
      </c>
      <c r="S10" s="185">
        <f t="shared" si="2"/>
        <v>-2860350</v>
      </c>
      <c r="T10" s="185">
        <f t="shared" si="2"/>
        <v>-2908700</v>
      </c>
      <c r="U10" s="185">
        <f t="shared" si="2"/>
        <v>-2809100</v>
      </c>
      <c r="V10" s="185">
        <f t="shared" si="2"/>
        <v>-2561550</v>
      </c>
      <c r="W10" s="254"/>
    </row>
    <row r="11" spans="3:23" ht="15.75" hidden="1" outlineLevel="1" x14ac:dyDescent="0.25">
      <c r="C11" s="9" t="s">
        <v>155</v>
      </c>
      <c r="D11" s="1"/>
      <c r="E11" s="1"/>
      <c r="F11" s="1"/>
      <c r="G11" s="1"/>
      <c r="H11" s="1"/>
      <c r="I11" s="1"/>
      <c r="J11" s="159">
        <f>IF(AND(J8&gt;0,J10&lt;0),MIN(J8,-J10),0)</f>
        <v>0</v>
      </c>
      <c r="K11" s="159">
        <f t="shared" ref="K11:V11" si="3">IF(AND(K8&gt;0,K10&lt;0),MIN(K8,-K10),0)</f>
        <v>0</v>
      </c>
      <c r="L11" s="159">
        <f t="shared" si="3"/>
        <v>0</v>
      </c>
      <c r="M11" s="159">
        <f t="shared" si="3"/>
        <v>0</v>
      </c>
      <c r="N11" s="159">
        <f t="shared" si="3"/>
        <v>0</v>
      </c>
      <c r="O11" s="159">
        <f t="shared" si="3"/>
        <v>0</v>
      </c>
      <c r="P11" s="159">
        <f t="shared" si="3"/>
        <v>0</v>
      </c>
      <c r="Q11" s="159">
        <f t="shared" si="3"/>
        <v>0</v>
      </c>
      <c r="R11" s="159">
        <f t="shared" si="3"/>
        <v>0</v>
      </c>
      <c r="S11" s="159">
        <f t="shared" si="3"/>
        <v>0</v>
      </c>
      <c r="T11" s="159">
        <f t="shared" si="3"/>
        <v>99600</v>
      </c>
      <c r="U11" s="159">
        <f t="shared" si="3"/>
        <v>247550</v>
      </c>
      <c r="V11" s="159">
        <f t="shared" si="3"/>
        <v>395500</v>
      </c>
      <c r="W11" s="254"/>
    </row>
    <row r="12" spans="3:23" ht="15.75" hidden="1" outlineLevel="1" x14ac:dyDescent="0.25">
      <c r="C12" s="9" t="s">
        <v>156</v>
      </c>
      <c r="D12" s="1"/>
      <c r="E12" s="1"/>
      <c r="F12" s="1"/>
      <c r="G12" s="1"/>
      <c r="H12" s="1"/>
      <c r="I12" s="1"/>
      <c r="J12" s="159">
        <f>IF(J8&lt;0,J8,0)</f>
        <v>-358250</v>
      </c>
      <c r="K12" s="159">
        <f t="shared" ref="K12:V12" si="4">IF(K8&lt;0,K8,0)</f>
        <v>-356250</v>
      </c>
      <c r="L12" s="159">
        <f t="shared" si="4"/>
        <v>-354250</v>
      </c>
      <c r="M12" s="159">
        <f t="shared" si="4"/>
        <v>-352250</v>
      </c>
      <c r="N12" s="159">
        <f t="shared" si="4"/>
        <v>-350250</v>
      </c>
      <c r="O12" s="159">
        <f t="shared" si="4"/>
        <v>-348250</v>
      </c>
      <c r="P12" s="159">
        <f t="shared" si="4"/>
        <v>-200300</v>
      </c>
      <c r="Q12" s="159">
        <f t="shared" si="4"/>
        <v>-52350</v>
      </c>
      <c r="R12" s="159">
        <f t="shared" si="4"/>
        <v>-488200</v>
      </c>
      <c r="S12" s="159">
        <f t="shared" si="4"/>
        <v>-48350</v>
      </c>
      <c r="T12" s="159">
        <f t="shared" si="4"/>
        <v>0</v>
      </c>
      <c r="U12" s="159">
        <f t="shared" si="4"/>
        <v>0</v>
      </c>
      <c r="V12" s="159">
        <f t="shared" si="4"/>
        <v>0</v>
      </c>
      <c r="W12" s="254"/>
    </row>
    <row r="13" spans="3:23" ht="15.75" hidden="1" outlineLevel="1" x14ac:dyDescent="0.25">
      <c r="C13" s="9" t="s">
        <v>154</v>
      </c>
      <c r="D13" s="1"/>
      <c r="E13" s="1"/>
      <c r="F13" s="1"/>
      <c r="G13" s="1"/>
      <c r="H13" s="1"/>
      <c r="I13" s="1"/>
      <c r="J13" s="159">
        <f>SUM(J10:J12)</f>
        <v>-358250</v>
      </c>
      <c r="K13" s="159">
        <f t="shared" ref="K13:V13" si="5">SUM(K10:K12)</f>
        <v>-714500</v>
      </c>
      <c r="L13" s="159">
        <f t="shared" si="5"/>
        <v>-1068750</v>
      </c>
      <c r="M13" s="159">
        <f t="shared" si="5"/>
        <v>-1421000</v>
      </c>
      <c r="N13" s="159">
        <f t="shared" si="5"/>
        <v>-1771250</v>
      </c>
      <c r="O13" s="159">
        <f t="shared" si="5"/>
        <v>-2119500</v>
      </c>
      <c r="P13" s="159">
        <f t="shared" si="5"/>
        <v>-2319800</v>
      </c>
      <c r="Q13" s="159">
        <f t="shared" si="5"/>
        <v>-2372150</v>
      </c>
      <c r="R13" s="159">
        <f t="shared" si="5"/>
        <v>-2860350</v>
      </c>
      <c r="S13" s="159">
        <f t="shared" si="5"/>
        <v>-2908700</v>
      </c>
      <c r="T13" s="159">
        <f t="shared" si="5"/>
        <v>-2809100</v>
      </c>
      <c r="U13" s="159">
        <f t="shared" si="5"/>
        <v>-2561550</v>
      </c>
      <c r="V13" s="159">
        <f t="shared" si="5"/>
        <v>-2166050</v>
      </c>
      <c r="W13" s="254"/>
    </row>
    <row r="14" spans="3:23" ht="15.75" hidden="1" outlineLevel="1" x14ac:dyDescent="0.25">
      <c r="C14" s="9" t="s">
        <v>153</v>
      </c>
      <c r="D14" s="1"/>
      <c r="E14" s="1"/>
      <c r="F14" s="1"/>
      <c r="G14" s="1"/>
      <c r="H14" s="1"/>
      <c r="I14" s="1"/>
      <c r="J14" s="159">
        <f>IF(J8&lt;0,0,J8-J11)</f>
        <v>0</v>
      </c>
      <c r="K14" s="159">
        <f t="shared" ref="K14:V14" si="6">IF(K8&lt;0,0,K8-K11)</f>
        <v>0</v>
      </c>
      <c r="L14" s="159">
        <f t="shared" si="6"/>
        <v>0</v>
      </c>
      <c r="M14" s="159">
        <f t="shared" si="6"/>
        <v>0</v>
      </c>
      <c r="N14" s="159">
        <f t="shared" si="6"/>
        <v>0</v>
      </c>
      <c r="O14" s="159">
        <f t="shared" si="6"/>
        <v>0</v>
      </c>
      <c r="P14" s="159">
        <f t="shared" si="6"/>
        <v>0</v>
      </c>
      <c r="Q14" s="159">
        <f t="shared" si="6"/>
        <v>0</v>
      </c>
      <c r="R14" s="159">
        <f t="shared" si="6"/>
        <v>0</v>
      </c>
      <c r="S14" s="159">
        <f t="shared" si="6"/>
        <v>0</v>
      </c>
      <c r="T14" s="159">
        <f t="shared" si="6"/>
        <v>0</v>
      </c>
      <c r="U14" s="159">
        <f t="shared" si="6"/>
        <v>0</v>
      </c>
      <c r="V14" s="159">
        <f t="shared" si="6"/>
        <v>0</v>
      </c>
      <c r="W14" s="254"/>
    </row>
    <row r="15" spans="3:23" ht="15.75" hidden="1" outlineLevel="1" thickBot="1" x14ac:dyDescent="0.3">
      <c r="C15" s="189"/>
      <c r="D15" s="1"/>
      <c r="E15" s="1"/>
      <c r="F15" s="1"/>
      <c r="G15" s="1"/>
      <c r="H15" s="1"/>
      <c r="I15" s="1"/>
      <c r="J15" s="159"/>
      <c r="K15" s="159"/>
      <c r="L15" s="159"/>
      <c r="M15" s="159"/>
      <c r="N15" s="159"/>
      <c r="O15" s="159"/>
      <c r="P15" s="159"/>
      <c r="Q15" s="159"/>
      <c r="R15" s="159"/>
      <c r="S15" s="159"/>
      <c r="T15" s="159"/>
      <c r="U15" s="159"/>
      <c r="V15" s="159"/>
      <c r="W15" s="160"/>
    </row>
    <row r="16" spans="3:23" ht="16.5" hidden="1" outlineLevel="1" thickBot="1" x14ac:dyDescent="0.3">
      <c r="C16" s="9" t="s">
        <v>150</v>
      </c>
      <c r="D16" s="1"/>
      <c r="E16" s="299">
        <f>הנחות!F18</f>
        <v>0.23</v>
      </c>
      <c r="F16" s="1"/>
      <c r="G16" s="1"/>
      <c r="H16" s="1"/>
      <c r="I16" s="1"/>
      <c r="J16" s="159">
        <f>-J14*$E$16</f>
        <v>0</v>
      </c>
      <c r="K16" s="159">
        <f t="shared" ref="K16:V16" si="7">-K14*$E$16</f>
        <v>0</v>
      </c>
      <c r="L16" s="159">
        <f t="shared" si="7"/>
        <v>0</v>
      </c>
      <c r="M16" s="159">
        <f t="shared" si="7"/>
        <v>0</v>
      </c>
      <c r="N16" s="159">
        <f t="shared" si="7"/>
        <v>0</v>
      </c>
      <c r="O16" s="159">
        <f t="shared" si="7"/>
        <v>0</v>
      </c>
      <c r="P16" s="159">
        <f t="shared" si="7"/>
        <v>0</v>
      </c>
      <c r="Q16" s="159">
        <f t="shared" si="7"/>
        <v>0</v>
      </c>
      <c r="R16" s="159">
        <f t="shared" si="7"/>
        <v>0</v>
      </c>
      <c r="S16" s="159">
        <f t="shared" si="7"/>
        <v>0</v>
      </c>
      <c r="T16" s="159">
        <f t="shared" si="7"/>
        <v>0</v>
      </c>
      <c r="U16" s="159">
        <f t="shared" si="7"/>
        <v>0</v>
      </c>
      <c r="V16" s="159">
        <f t="shared" si="7"/>
        <v>0</v>
      </c>
      <c r="W16" s="160"/>
    </row>
    <row r="17" spans="3:23" ht="6" hidden="1" customHeight="1" outlineLevel="1" x14ac:dyDescent="0.25">
      <c r="C17" s="189"/>
      <c r="D17" s="1"/>
      <c r="E17" s="1"/>
      <c r="F17" s="1"/>
      <c r="G17" s="1"/>
      <c r="H17" s="1"/>
      <c r="I17" s="1"/>
      <c r="J17" s="159"/>
      <c r="K17" s="159"/>
      <c r="L17" s="159"/>
      <c r="M17" s="159"/>
      <c r="N17" s="159"/>
      <c r="O17" s="159"/>
      <c r="P17" s="159"/>
      <c r="Q17" s="159"/>
      <c r="R17" s="159"/>
      <c r="S17" s="159"/>
      <c r="T17" s="159"/>
      <c r="U17" s="159"/>
      <c r="V17" s="159"/>
      <c r="W17" s="160"/>
    </row>
    <row r="18" spans="3:23" hidden="1" outlineLevel="1" x14ac:dyDescent="0.25">
      <c r="C18" s="189"/>
      <c r="D18" s="1"/>
      <c r="E18" s="1"/>
      <c r="F18" s="1"/>
      <c r="G18" s="1"/>
      <c r="H18" s="1"/>
      <c r="I18" s="1"/>
      <c r="J18" s="159"/>
      <c r="K18" s="159"/>
      <c r="L18" s="159"/>
      <c r="M18" s="159"/>
      <c r="N18" s="159"/>
      <c r="O18" s="159"/>
      <c r="P18" s="159"/>
      <c r="Q18" s="159"/>
      <c r="R18" s="159"/>
      <c r="S18" s="159"/>
      <c r="T18" s="159"/>
      <c r="U18" s="159"/>
      <c r="V18" s="159"/>
      <c r="W18" s="160"/>
    </row>
    <row r="19" spans="3:23" collapsed="1" x14ac:dyDescent="0.25">
      <c r="C19" s="188" t="s">
        <v>206</v>
      </c>
      <c r="D19" s="1"/>
      <c r="E19" s="1"/>
      <c r="F19" s="1"/>
      <c r="G19" s="1"/>
      <c r="H19" s="1"/>
      <c r="I19" s="1"/>
      <c r="J19" s="159">
        <f>SUM(J14,J16)</f>
        <v>0</v>
      </c>
      <c r="K19" s="159">
        <f t="shared" ref="K19:V19" si="8">SUM(K14,K16)</f>
        <v>0</v>
      </c>
      <c r="L19" s="159">
        <f t="shared" si="8"/>
        <v>0</v>
      </c>
      <c r="M19" s="159">
        <f t="shared" si="8"/>
        <v>0</v>
      </c>
      <c r="N19" s="159">
        <f t="shared" si="8"/>
        <v>0</v>
      </c>
      <c r="O19" s="159">
        <f t="shared" si="8"/>
        <v>0</v>
      </c>
      <c r="P19" s="159">
        <f t="shared" si="8"/>
        <v>0</v>
      </c>
      <c r="Q19" s="159">
        <f t="shared" si="8"/>
        <v>0</v>
      </c>
      <c r="R19" s="159">
        <f t="shared" si="8"/>
        <v>0</v>
      </c>
      <c r="S19" s="159">
        <f t="shared" si="8"/>
        <v>0</v>
      </c>
      <c r="T19" s="159">
        <f t="shared" si="8"/>
        <v>0</v>
      </c>
      <c r="U19" s="159">
        <f t="shared" si="8"/>
        <v>0</v>
      </c>
      <c r="V19" s="159">
        <f t="shared" si="8"/>
        <v>0</v>
      </c>
      <c r="W19" s="160"/>
    </row>
    <row r="20" spans="3:23" ht="6" customHeight="1" x14ac:dyDescent="0.25">
      <c r="C20" s="187"/>
      <c r="D20" s="1"/>
      <c r="E20" s="1"/>
      <c r="F20" s="1"/>
      <c r="G20" s="1"/>
      <c r="H20" s="1"/>
      <c r="I20" s="1"/>
      <c r="J20" s="159"/>
      <c r="K20" s="159"/>
      <c r="L20" s="159"/>
      <c r="M20" s="159"/>
      <c r="N20" s="159"/>
      <c r="O20" s="159"/>
      <c r="P20" s="159"/>
      <c r="Q20" s="159"/>
      <c r="R20" s="159"/>
      <c r="S20" s="159"/>
      <c r="T20" s="159"/>
      <c r="U20" s="159"/>
      <c r="V20" s="159"/>
      <c r="W20" s="160"/>
    </row>
    <row r="21" spans="3:23" x14ac:dyDescent="0.25">
      <c r="C21" s="187" t="s">
        <v>207</v>
      </c>
      <c r="D21" s="1"/>
      <c r="E21" s="1"/>
      <c r="F21" s="1"/>
      <c r="G21" s="1"/>
      <c r="H21" s="1"/>
      <c r="I21" s="1"/>
      <c r="J21" s="161">
        <f>'הון חוזר'!AG34</f>
        <v>0</v>
      </c>
      <c r="K21" s="161">
        <f>'הון חוזר'!AH34</f>
        <v>1225000</v>
      </c>
      <c r="L21" s="161">
        <f>'הון חוזר'!AI34</f>
        <v>1225000</v>
      </c>
      <c r="M21" s="161">
        <f>'הון חוזר'!AJ34</f>
        <v>1225000</v>
      </c>
      <c r="N21" s="161">
        <f>'הון חוזר'!AK34</f>
        <v>1225000</v>
      </c>
      <c r="O21" s="161">
        <f>'הון חוזר'!AL34</f>
        <v>1225000</v>
      </c>
      <c r="P21" s="161">
        <f>'הון חוזר'!AM34</f>
        <v>1225000</v>
      </c>
      <c r="Q21" s="161">
        <f>'הון חוזר'!AN34</f>
        <v>1470000</v>
      </c>
      <c r="R21" s="161">
        <f>'הון חוזר'!AO34</f>
        <v>1715000</v>
      </c>
      <c r="S21" s="161">
        <f>'הון חוזר'!AP34</f>
        <v>979999.99999999988</v>
      </c>
      <c r="T21" s="161">
        <f>'הון חוזר'!AQ34</f>
        <v>1715000</v>
      </c>
      <c r="U21" s="161">
        <f>'הון חוזר'!AR34</f>
        <v>1960000</v>
      </c>
      <c r="V21" s="161">
        <f>'הון חוזר'!AS34</f>
        <v>2205000</v>
      </c>
      <c r="W21" s="162">
        <f t="shared" ref="W21:W33" si="9">SUM(J21:V21)</f>
        <v>17395000</v>
      </c>
    </row>
    <row r="22" spans="3:23" ht="6" customHeight="1" x14ac:dyDescent="0.25">
      <c r="C22" s="187"/>
      <c r="D22" s="1"/>
      <c r="E22" s="1"/>
      <c r="F22" s="1"/>
      <c r="G22" s="1"/>
      <c r="H22" s="1"/>
      <c r="I22" s="1"/>
      <c r="J22" s="159"/>
      <c r="K22" s="159"/>
      <c r="L22" s="159"/>
      <c r="M22" s="159"/>
      <c r="N22" s="159"/>
      <c r="O22" s="159"/>
      <c r="P22" s="159"/>
      <c r="Q22" s="159"/>
      <c r="R22" s="159"/>
      <c r="S22" s="159"/>
      <c r="T22" s="159"/>
      <c r="U22" s="159"/>
      <c r="V22" s="159"/>
      <c r="W22" s="164"/>
    </row>
    <row r="23" spans="3:23" x14ac:dyDescent="0.25">
      <c r="C23" s="187" t="s">
        <v>208</v>
      </c>
      <c r="D23" s="1"/>
      <c r="E23" s="1"/>
      <c r="F23" s="1"/>
      <c r="G23" s="1"/>
      <c r="H23" s="1"/>
      <c r="I23" s="1"/>
      <c r="J23" s="159">
        <f>-'הון חוזר'!AG16</f>
        <v>-1225000</v>
      </c>
      <c r="K23" s="159">
        <f>-'הון חוזר'!AH16</f>
        <v>-1225000</v>
      </c>
      <c r="L23" s="159">
        <f>-'הון חוזר'!AI16</f>
        <v>-1225000</v>
      </c>
      <c r="M23" s="159">
        <f>-'הון חוזר'!AJ16</f>
        <v>-1225000</v>
      </c>
      <c r="N23" s="159">
        <f>-'הון חוזר'!AK16</f>
        <v>-1225000</v>
      </c>
      <c r="O23" s="159">
        <f>-'הון חוזר'!AL16</f>
        <v>-1225000</v>
      </c>
      <c r="P23" s="159">
        <f>-'הון חוזר'!AM16</f>
        <v>-1470000</v>
      </c>
      <c r="Q23" s="159">
        <f>-'הון חוזר'!AN16</f>
        <v>-1715000</v>
      </c>
      <c r="R23" s="159">
        <f>-'הון חוזר'!AO16</f>
        <v>-980000</v>
      </c>
      <c r="S23" s="159">
        <f>-'הון חוזר'!AP16</f>
        <v>-1715000</v>
      </c>
      <c r="T23" s="159">
        <f>-'הון חוזר'!AQ16</f>
        <v>-1960000</v>
      </c>
      <c r="U23" s="159">
        <f>-'הון חוזר'!AR16</f>
        <v>-2205000</v>
      </c>
      <c r="V23" s="159">
        <f>-'הון חוזר'!AS16</f>
        <v>-2450000</v>
      </c>
      <c r="W23" s="160">
        <f t="shared" si="9"/>
        <v>-19845000</v>
      </c>
    </row>
    <row r="24" spans="3:23" ht="6" customHeight="1" x14ac:dyDescent="0.25">
      <c r="C24" s="187"/>
      <c r="D24" s="1"/>
      <c r="E24" s="1"/>
      <c r="F24" s="1"/>
      <c r="G24" s="1"/>
      <c r="H24" s="1"/>
      <c r="I24" s="1"/>
      <c r="J24" s="159"/>
      <c r="K24" s="159"/>
      <c r="L24" s="159"/>
      <c r="M24" s="159"/>
      <c r="N24" s="159"/>
      <c r="O24" s="159"/>
      <c r="P24" s="159"/>
      <c r="Q24" s="159"/>
      <c r="R24" s="159"/>
      <c r="S24" s="159"/>
      <c r="T24" s="159"/>
      <c r="U24" s="159"/>
      <c r="V24" s="159"/>
      <c r="W24" s="160"/>
    </row>
    <row r="25" spans="3:23" x14ac:dyDescent="0.25">
      <c r="C25" s="187" t="s">
        <v>210</v>
      </c>
      <c r="D25" s="1"/>
      <c r="E25" s="1"/>
      <c r="F25" s="1"/>
      <c r="G25" s="1"/>
      <c r="H25" s="1"/>
      <c r="I25" s="1"/>
      <c r="J25" s="159">
        <f>-'הון חוזר'!AG101</f>
        <v>0</v>
      </c>
      <c r="K25" s="159">
        <f>-'הון חוזר'!AH101</f>
        <v>0</v>
      </c>
      <c r="L25" s="159">
        <f>-'הון חוזר'!AI101</f>
        <v>-351225</v>
      </c>
      <c r="M25" s="159">
        <f>-'הון חוזר'!AJ101</f>
        <v>-351225</v>
      </c>
      <c r="N25" s="159">
        <f>-'הון חוזר'!AK101</f>
        <v>-351225</v>
      </c>
      <c r="O25" s="159">
        <f>-'הון חוזר'!AL101</f>
        <v>-351225</v>
      </c>
      <c r="P25" s="159">
        <f>-'הון חוזר'!AM101</f>
        <v>-351225</v>
      </c>
      <c r="Q25" s="159">
        <f>-'הון חוזר'!AN101</f>
        <v>-351225</v>
      </c>
      <c r="R25" s="159">
        <f>-'הון חוזר'!AO101</f>
        <v>-421470</v>
      </c>
      <c r="S25" s="159">
        <f>-'הון חוזר'!AP101</f>
        <v>-491715</v>
      </c>
      <c r="T25" s="159">
        <f>-'הון חוזר'!AQ101</f>
        <v>-280980</v>
      </c>
      <c r="U25" s="159">
        <f>-'הון חוזר'!AR101</f>
        <v>-491715</v>
      </c>
      <c r="V25" s="159">
        <f>-'הון חוזר'!AS101</f>
        <v>-561960</v>
      </c>
      <c r="W25" s="160">
        <f t="shared" si="9"/>
        <v>-4355190</v>
      </c>
    </row>
    <row r="26" spans="3:23" ht="6" customHeight="1" x14ac:dyDescent="0.25">
      <c r="C26" s="187"/>
      <c r="D26" s="1"/>
      <c r="E26" s="1"/>
      <c r="F26" s="1"/>
      <c r="G26" s="1"/>
      <c r="H26" s="1"/>
      <c r="I26" s="1"/>
      <c r="J26" s="159"/>
      <c r="K26" s="159"/>
      <c r="L26" s="159"/>
      <c r="M26" s="159"/>
      <c r="N26" s="159"/>
      <c r="O26" s="159"/>
      <c r="P26" s="159"/>
      <c r="Q26" s="159"/>
      <c r="R26" s="159"/>
      <c r="S26" s="159"/>
      <c r="T26" s="159"/>
      <c r="U26" s="159"/>
      <c r="V26" s="159"/>
      <c r="W26" s="160"/>
    </row>
    <row r="27" spans="3:23" x14ac:dyDescent="0.25">
      <c r="C27" s="187" t="s">
        <v>211</v>
      </c>
      <c r="D27" s="1"/>
      <c r="E27" s="1"/>
      <c r="F27" s="1"/>
      <c r="G27" s="1"/>
      <c r="H27" s="1"/>
      <c r="I27" s="1"/>
      <c r="J27" s="159">
        <f>'הון חוזר'!AG83</f>
        <v>351225</v>
      </c>
      <c r="K27" s="159">
        <f>'הון חוזר'!AH83</f>
        <v>351225</v>
      </c>
      <c r="L27" s="159">
        <f>'הון חוזר'!AI83</f>
        <v>351225</v>
      </c>
      <c r="M27" s="159">
        <f>'הון חוזר'!AJ83</f>
        <v>351225</v>
      </c>
      <c r="N27" s="159">
        <f>'הון חוזר'!AK83</f>
        <v>351225</v>
      </c>
      <c r="O27" s="159">
        <f>'הון חוזר'!AL83</f>
        <v>351225</v>
      </c>
      <c r="P27" s="159">
        <f>'הון חוזר'!AM83</f>
        <v>421470</v>
      </c>
      <c r="Q27" s="159">
        <f>'הון חוזר'!AN83</f>
        <v>491715</v>
      </c>
      <c r="R27" s="159">
        <f>'הון חוזר'!AO83</f>
        <v>280980</v>
      </c>
      <c r="S27" s="159">
        <f>'הון חוזר'!AP83</f>
        <v>491715</v>
      </c>
      <c r="T27" s="159">
        <f>'הון חוזר'!AQ83</f>
        <v>561960</v>
      </c>
      <c r="U27" s="159">
        <f>'הון חוזר'!AR83</f>
        <v>632205</v>
      </c>
      <c r="V27" s="159">
        <f>'הון חוזר'!AS83</f>
        <v>702450</v>
      </c>
      <c r="W27" s="160">
        <f t="shared" si="9"/>
        <v>5689845</v>
      </c>
    </row>
    <row r="28" spans="3:23" ht="6.75" customHeight="1" x14ac:dyDescent="0.25">
      <c r="C28" s="187"/>
      <c r="D28" s="1"/>
      <c r="E28" s="1"/>
      <c r="F28" s="1"/>
      <c r="G28" s="1"/>
      <c r="H28" s="1"/>
      <c r="I28" s="1"/>
      <c r="J28" s="159"/>
      <c r="K28" s="159"/>
      <c r="L28" s="159"/>
      <c r="M28" s="159"/>
      <c r="N28" s="159"/>
      <c r="O28" s="159"/>
      <c r="P28" s="159"/>
      <c r="Q28" s="159"/>
      <c r="R28" s="159"/>
      <c r="S28" s="159"/>
      <c r="T28" s="159"/>
      <c r="U28" s="159"/>
      <c r="V28" s="159"/>
      <c r="W28" s="160"/>
    </row>
    <row r="29" spans="3:23" x14ac:dyDescent="0.25">
      <c r="C29" s="187" t="s">
        <v>143</v>
      </c>
      <c r="D29" s="1"/>
      <c r="E29" s="1"/>
      <c r="F29" s="1"/>
      <c r="G29" s="1"/>
      <c r="H29" s="1"/>
      <c r="I29" s="1"/>
      <c r="J29" s="159">
        <f>הוצאות!J93</f>
        <v>210000</v>
      </c>
      <c r="K29" s="159">
        <f>הוצאות!K93</f>
        <v>210000</v>
      </c>
      <c r="L29" s="159">
        <f>הוצאות!L93</f>
        <v>210000</v>
      </c>
      <c r="M29" s="159">
        <f>הוצאות!M93</f>
        <v>210000</v>
      </c>
      <c r="N29" s="159">
        <f>הוצאות!N93</f>
        <v>210000</v>
      </c>
      <c r="O29" s="159">
        <f>הוצאות!O93</f>
        <v>210000</v>
      </c>
      <c r="P29" s="159">
        <f>הוצאות!P93</f>
        <v>210000</v>
      </c>
      <c r="Q29" s="159">
        <f>הוצאות!Q93</f>
        <v>210000</v>
      </c>
      <c r="R29" s="159">
        <f>הוצאות!R93</f>
        <v>210000</v>
      </c>
      <c r="S29" s="159">
        <f>הוצאות!S93</f>
        <v>210000</v>
      </c>
      <c r="T29" s="159">
        <f>הוצאות!T93</f>
        <v>210000</v>
      </c>
      <c r="U29" s="159">
        <f>הוצאות!U93</f>
        <v>210000</v>
      </c>
      <c r="V29" s="159">
        <f>הוצאות!V93</f>
        <v>210000</v>
      </c>
      <c r="W29" s="160">
        <f t="shared" si="9"/>
        <v>2730000</v>
      </c>
    </row>
    <row r="30" spans="3:23" ht="6" customHeight="1" x14ac:dyDescent="0.25">
      <c r="C30" s="187"/>
      <c r="D30" s="1"/>
      <c r="E30" s="1"/>
      <c r="F30" s="1"/>
      <c r="G30" s="1"/>
      <c r="H30" s="1"/>
      <c r="I30" s="1"/>
      <c r="J30" s="159"/>
      <c r="K30" s="159"/>
      <c r="L30" s="159"/>
      <c r="M30" s="159"/>
      <c r="N30" s="159"/>
      <c r="O30" s="159"/>
      <c r="P30" s="159"/>
      <c r="Q30" s="159"/>
      <c r="R30" s="159"/>
      <c r="S30" s="159"/>
      <c r="T30" s="159"/>
      <c r="U30" s="159"/>
      <c r="V30" s="159"/>
      <c r="W30" s="160"/>
    </row>
    <row r="31" spans="3:23" x14ac:dyDescent="0.25">
      <c r="C31" s="187" t="s">
        <v>212</v>
      </c>
      <c r="D31" s="1"/>
      <c r="E31" s="1"/>
      <c r="F31" s="1"/>
      <c r="G31" s="1"/>
      <c r="H31" s="1"/>
      <c r="I31" s="1"/>
      <c r="J31" s="190">
        <f>SUM(J19,J21:J29)</f>
        <v>-663775</v>
      </c>
      <c r="K31" s="190">
        <f t="shared" ref="K31:V31" si="10">SUM(K19,K21:K29)</f>
        <v>561225</v>
      </c>
      <c r="L31" s="190">
        <f>SUM(L19,L21:L29)</f>
        <v>210000</v>
      </c>
      <c r="M31" s="190">
        <f t="shared" si="10"/>
        <v>210000</v>
      </c>
      <c r="N31" s="190">
        <f t="shared" si="10"/>
        <v>210000</v>
      </c>
      <c r="O31" s="190">
        <f t="shared" si="10"/>
        <v>210000</v>
      </c>
      <c r="P31" s="190">
        <f t="shared" si="10"/>
        <v>35245</v>
      </c>
      <c r="Q31" s="190">
        <f t="shared" si="10"/>
        <v>105490</v>
      </c>
      <c r="R31" s="190">
        <f t="shared" si="10"/>
        <v>804510</v>
      </c>
      <c r="S31" s="190">
        <f t="shared" si="10"/>
        <v>-525000</v>
      </c>
      <c r="T31" s="190">
        <f t="shared" si="10"/>
        <v>245980</v>
      </c>
      <c r="U31" s="190">
        <f t="shared" si="10"/>
        <v>105490</v>
      </c>
      <c r="V31" s="190">
        <f t="shared" si="10"/>
        <v>105490</v>
      </c>
      <c r="W31" s="191">
        <f t="shared" si="9"/>
        <v>1614655</v>
      </c>
    </row>
    <row r="32" spans="3:23" ht="6" customHeight="1" x14ac:dyDescent="0.25">
      <c r="C32" s="187"/>
      <c r="D32" s="1"/>
      <c r="E32" s="1"/>
      <c r="F32" s="1"/>
      <c r="G32" s="1"/>
      <c r="H32" s="1"/>
      <c r="I32" s="1"/>
      <c r="J32" s="159"/>
      <c r="K32" s="159"/>
      <c r="L32" s="159"/>
      <c r="M32" s="159"/>
      <c r="N32" s="159"/>
      <c r="O32" s="159"/>
      <c r="P32" s="159"/>
      <c r="Q32" s="159"/>
      <c r="R32" s="159"/>
      <c r="S32" s="159"/>
      <c r="T32" s="159"/>
      <c r="U32" s="159"/>
      <c r="V32" s="159"/>
      <c r="W32" s="160"/>
    </row>
    <row r="33" spans="3:23" x14ac:dyDescent="0.25">
      <c r="C33" s="188" t="s">
        <v>289</v>
      </c>
      <c r="D33" s="1"/>
      <c r="E33" s="1"/>
      <c r="F33" s="1"/>
      <c r="G33" s="1"/>
      <c r="H33" s="1"/>
      <c r="I33" s="1"/>
      <c r="J33" s="159"/>
      <c r="K33" s="159"/>
      <c r="L33" s="159"/>
      <c r="M33" s="159"/>
      <c r="N33" s="159"/>
      <c r="O33" s="159"/>
      <c r="P33" s="159"/>
      <c r="Q33" s="159"/>
      <c r="R33" s="159"/>
      <c r="S33" s="159"/>
      <c r="T33" s="159"/>
      <c r="U33" s="159"/>
      <c r="V33" s="159"/>
      <c r="W33" s="160">
        <f t="shared" si="9"/>
        <v>0</v>
      </c>
    </row>
    <row r="34" spans="3:23" ht="6" customHeight="1" x14ac:dyDescent="0.25">
      <c r="C34" s="188"/>
      <c r="D34" s="1"/>
      <c r="E34" s="1"/>
      <c r="F34" s="1"/>
      <c r="G34" s="1"/>
      <c r="H34" s="1"/>
      <c r="I34" s="1"/>
      <c r="J34" s="159"/>
      <c r="K34" s="159"/>
      <c r="L34" s="159"/>
      <c r="M34" s="159"/>
      <c r="N34" s="159"/>
      <c r="O34" s="159"/>
      <c r="P34" s="159"/>
      <c r="Q34" s="159"/>
      <c r="R34" s="159"/>
      <c r="S34" s="159"/>
      <c r="T34" s="159"/>
      <c r="U34" s="159"/>
      <c r="V34" s="159"/>
      <c r="W34" s="160"/>
    </row>
    <row r="35" spans="3:23" ht="17.25" hidden="1" customHeight="1" x14ac:dyDescent="0.25">
      <c r="C35" s="188"/>
      <c r="D35" s="1"/>
      <c r="E35" s="1"/>
      <c r="F35" s="1"/>
      <c r="G35" s="1"/>
      <c r="H35" s="1"/>
      <c r="I35" s="1"/>
      <c r="J35" s="159">
        <f t="array" ref="J35:V35">TRANSPOSE(הנחות!S61:S73)</f>
        <v>0</v>
      </c>
      <c r="K35" s="159">
        <v>0</v>
      </c>
      <c r="L35" s="159">
        <v>0</v>
      </c>
      <c r="M35" s="159">
        <v>0</v>
      </c>
      <c r="N35" s="159">
        <v>0</v>
      </c>
      <c r="O35" s="159">
        <v>0</v>
      </c>
      <c r="P35" s="159">
        <v>0</v>
      </c>
      <c r="Q35" s="159">
        <v>0</v>
      </c>
      <c r="R35" s="159">
        <v>0</v>
      </c>
      <c r="S35" s="159">
        <v>0</v>
      </c>
      <c r="T35" s="159">
        <v>0</v>
      </c>
      <c r="U35" s="159">
        <v>0</v>
      </c>
      <c r="V35" s="159">
        <v>0</v>
      </c>
      <c r="W35" s="160"/>
    </row>
    <row r="36" spans="3:23" x14ac:dyDescent="0.25">
      <c r="C36" s="187" t="s">
        <v>214</v>
      </c>
      <c r="D36" s="1"/>
      <c r="E36" s="1"/>
      <c r="F36" s="1"/>
      <c r="G36" s="1"/>
      <c r="H36" s="1"/>
      <c r="I36" s="1"/>
      <c r="J36" s="159">
        <f>-J35</f>
        <v>0</v>
      </c>
      <c r="K36" s="159">
        <f t="shared" ref="K36:V36" si="11">-K35</f>
        <v>0</v>
      </c>
      <c r="L36" s="159">
        <f t="shared" si="11"/>
        <v>0</v>
      </c>
      <c r="M36" s="159">
        <f t="shared" si="11"/>
        <v>0</v>
      </c>
      <c r="N36" s="159">
        <f t="shared" si="11"/>
        <v>0</v>
      </c>
      <c r="O36" s="159">
        <f t="shared" si="11"/>
        <v>0</v>
      </c>
      <c r="P36" s="159">
        <f t="shared" si="11"/>
        <v>0</v>
      </c>
      <c r="Q36" s="159">
        <f t="shared" si="11"/>
        <v>0</v>
      </c>
      <c r="R36" s="159">
        <f t="shared" si="11"/>
        <v>0</v>
      </c>
      <c r="S36" s="159">
        <f t="shared" si="11"/>
        <v>0</v>
      </c>
      <c r="T36" s="159">
        <f t="shared" si="11"/>
        <v>0</v>
      </c>
      <c r="U36" s="159">
        <f t="shared" si="11"/>
        <v>0</v>
      </c>
      <c r="V36" s="159">
        <f t="shared" si="11"/>
        <v>0</v>
      </c>
      <c r="W36" s="160">
        <f t="shared" ref="W36:W46" si="12">SUM(J36:V36)</f>
        <v>0</v>
      </c>
    </row>
    <row r="37" spans="3:23" ht="6" customHeight="1" x14ac:dyDescent="0.25">
      <c r="C37" s="187"/>
      <c r="D37" s="1"/>
      <c r="E37" s="1"/>
      <c r="F37" s="1"/>
      <c r="G37" s="1"/>
      <c r="H37" s="1"/>
      <c r="I37" s="1"/>
      <c r="J37" s="159"/>
      <c r="K37" s="159"/>
      <c r="L37" s="159"/>
      <c r="M37" s="159"/>
      <c r="N37" s="159"/>
      <c r="O37" s="159"/>
      <c r="P37" s="159"/>
      <c r="Q37" s="159"/>
      <c r="R37" s="159"/>
      <c r="S37" s="159"/>
      <c r="T37" s="159"/>
      <c r="U37" s="159"/>
      <c r="V37" s="159"/>
      <c r="W37" s="160"/>
    </row>
    <row r="38" spans="3:23" x14ac:dyDescent="0.25">
      <c r="C38" s="187" t="s">
        <v>215</v>
      </c>
      <c r="D38" s="1"/>
      <c r="E38" s="1"/>
      <c r="F38" s="1"/>
      <c r="G38" s="1"/>
      <c r="H38" s="1"/>
      <c r="I38" s="1"/>
      <c r="J38" s="190">
        <f>J36</f>
        <v>0</v>
      </c>
      <c r="K38" s="190">
        <f t="shared" ref="K38:V38" si="13">K36</f>
        <v>0</v>
      </c>
      <c r="L38" s="190">
        <f t="shared" si="13"/>
        <v>0</v>
      </c>
      <c r="M38" s="190">
        <f t="shared" si="13"/>
        <v>0</v>
      </c>
      <c r="N38" s="190">
        <f t="shared" si="13"/>
        <v>0</v>
      </c>
      <c r="O38" s="190">
        <f t="shared" si="13"/>
        <v>0</v>
      </c>
      <c r="P38" s="190">
        <f t="shared" si="13"/>
        <v>0</v>
      </c>
      <c r="Q38" s="190">
        <f t="shared" si="13"/>
        <v>0</v>
      </c>
      <c r="R38" s="190">
        <f t="shared" si="13"/>
        <v>0</v>
      </c>
      <c r="S38" s="190">
        <f t="shared" si="13"/>
        <v>0</v>
      </c>
      <c r="T38" s="190">
        <f t="shared" si="13"/>
        <v>0</v>
      </c>
      <c r="U38" s="190">
        <f t="shared" si="13"/>
        <v>0</v>
      </c>
      <c r="V38" s="190">
        <f t="shared" si="13"/>
        <v>0</v>
      </c>
      <c r="W38" s="191">
        <f t="shared" si="12"/>
        <v>0</v>
      </c>
    </row>
    <row r="39" spans="3:23" ht="6" customHeight="1" x14ac:dyDescent="0.25">
      <c r="C39" s="188"/>
      <c r="D39" s="1"/>
      <c r="E39" s="1"/>
      <c r="F39" s="1"/>
      <c r="G39" s="1"/>
      <c r="H39" s="1"/>
      <c r="I39" s="1"/>
      <c r="J39" s="159"/>
      <c r="K39" s="159"/>
      <c r="L39" s="159"/>
      <c r="M39" s="159"/>
      <c r="N39" s="159"/>
      <c r="O39" s="159"/>
      <c r="P39" s="159"/>
      <c r="Q39" s="159"/>
      <c r="R39" s="159"/>
      <c r="S39" s="159"/>
      <c r="T39" s="159"/>
      <c r="U39" s="159"/>
      <c r="V39" s="159"/>
      <c r="W39" s="160"/>
    </row>
    <row r="40" spans="3:23" x14ac:dyDescent="0.25">
      <c r="C40" s="188" t="s">
        <v>216</v>
      </c>
      <c r="D40" s="1"/>
      <c r="E40" s="1"/>
      <c r="F40" s="1"/>
      <c r="G40" s="1"/>
      <c r="H40" s="1"/>
      <c r="I40" s="1"/>
      <c r="J40" s="159"/>
      <c r="K40" s="159"/>
      <c r="L40" s="159"/>
      <c r="M40" s="159"/>
      <c r="N40" s="159"/>
      <c r="O40" s="159"/>
      <c r="P40" s="159"/>
      <c r="Q40" s="159"/>
      <c r="R40" s="159"/>
      <c r="S40" s="159"/>
      <c r="T40" s="159"/>
      <c r="U40" s="159"/>
      <c r="V40" s="159"/>
      <c r="W40" s="160"/>
    </row>
    <row r="41" spans="3:23" ht="6" customHeight="1" x14ac:dyDescent="0.25">
      <c r="C41" s="187"/>
      <c r="D41" s="1"/>
      <c r="E41" s="1"/>
      <c r="F41" s="1"/>
      <c r="G41" s="1"/>
      <c r="H41" s="1"/>
      <c r="I41" s="1"/>
      <c r="J41" s="159"/>
      <c r="K41" s="159"/>
      <c r="L41" s="159"/>
      <c r="M41" s="159"/>
      <c r="N41" s="159"/>
      <c r="O41" s="159"/>
      <c r="P41" s="159"/>
      <c r="Q41" s="159"/>
      <c r="R41" s="159"/>
      <c r="S41" s="159"/>
      <c r="T41" s="159"/>
      <c r="U41" s="159"/>
      <c r="V41" s="159"/>
      <c r="W41" s="160"/>
    </row>
    <row r="42" spans="3:23" x14ac:dyDescent="0.25">
      <c r="C42" s="187" t="s">
        <v>217</v>
      </c>
      <c r="D42" s="1"/>
      <c r="E42" s="1"/>
      <c r="F42" s="1"/>
      <c r="G42" s="1"/>
      <c r="H42" s="1"/>
      <c r="I42" s="1"/>
      <c r="J42" s="159">
        <f>'הלוואה והוצאות מימון'!J14</f>
        <v>0</v>
      </c>
      <c r="K42" s="159">
        <f>'הלוואה והוצאות מימון'!K14</f>
        <v>0</v>
      </c>
      <c r="L42" s="159">
        <f>'הלוואה והוצאות מימון'!L14</f>
        <v>0</v>
      </c>
      <c r="M42" s="159">
        <f>'הלוואה והוצאות מימון'!M14</f>
        <v>0</v>
      </c>
      <c r="N42" s="159">
        <f>'הלוואה והוצאות מימון'!N14</f>
        <v>0</v>
      </c>
      <c r="O42" s="159">
        <f>'הלוואה והוצאות מימון'!O14</f>
        <v>0</v>
      </c>
      <c r="P42" s="159">
        <f>'הלוואה והוצאות מימון'!P14</f>
        <v>0</v>
      </c>
      <c r="Q42" s="159">
        <f>'הלוואה והוצאות מימון'!Q14</f>
        <v>0</v>
      </c>
      <c r="R42" s="159">
        <f>'הלוואה והוצאות מימון'!R14</f>
        <v>0</v>
      </c>
      <c r="S42" s="159">
        <f>'הלוואה והוצאות מימון'!S14</f>
        <v>0</v>
      </c>
      <c r="T42" s="159">
        <f>'הלוואה והוצאות מימון'!T14</f>
        <v>0</v>
      </c>
      <c r="U42" s="159">
        <f>'הלוואה והוצאות מימון'!U14</f>
        <v>0</v>
      </c>
      <c r="V42" s="159">
        <f>'הלוואה והוצאות מימון'!V14</f>
        <v>0</v>
      </c>
      <c r="W42" s="160">
        <f t="shared" si="12"/>
        <v>0</v>
      </c>
    </row>
    <row r="43" spans="3:23" ht="6" customHeight="1" x14ac:dyDescent="0.25">
      <c r="C43" s="187"/>
      <c r="D43" s="1"/>
      <c r="E43" s="1"/>
      <c r="F43" s="1"/>
      <c r="G43" s="1"/>
      <c r="H43" s="1"/>
      <c r="I43" s="1"/>
      <c r="J43" s="159"/>
      <c r="K43" s="159"/>
      <c r="L43" s="159"/>
      <c r="M43" s="159"/>
      <c r="N43" s="159"/>
      <c r="O43" s="159"/>
      <c r="P43" s="159"/>
      <c r="Q43" s="159"/>
      <c r="R43" s="159"/>
      <c r="S43" s="159"/>
      <c r="T43" s="159"/>
      <c r="U43" s="159"/>
      <c r="V43" s="159"/>
      <c r="W43" s="160"/>
    </row>
    <row r="44" spans="3:23" x14ac:dyDescent="0.25">
      <c r="C44" s="187" t="s">
        <v>218</v>
      </c>
      <c r="D44" s="1"/>
      <c r="E44" s="1"/>
      <c r="F44" s="1"/>
      <c r="G44" s="1"/>
      <c r="H44" s="1"/>
      <c r="I44" s="1"/>
      <c r="J44" s="159">
        <f>-'הלוואה והוצאות מימון'!J20</f>
        <v>-20000</v>
      </c>
      <c r="K44" s="159">
        <f>-'הלוואה והוצאות מימון'!K20</f>
        <v>-22000</v>
      </c>
      <c r="L44" s="159">
        <f>-'הלוואה והוצאות מימון'!L20</f>
        <v>-24000</v>
      </c>
      <c r="M44" s="159">
        <f>-'הלוואה והוצאות מימון'!M20</f>
        <v>-26000</v>
      </c>
      <c r="N44" s="159">
        <f>-'הלוואה והוצאות מימון'!N20</f>
        <v>-28000</v>
      </c>
      <c r="O44" s="159">
        <f>-'הלוואה והוצאות מימון'!O20</f>
        <v>-30000</v>
      </c>
      <c r="P44" s="159">
        <f>-'הלוואה והוצאות מימון'!P20</f>
        <v>-32000</v>
      </c>
      <c r="Q44" s="159">
        <f>-'הלוואה והוצאות מימון'!Q20</f>
        <v>-34000</v>
      </c>
      <c r="R44" s="159">
        <f>-'הלוואה והוצאות מימון'!R20</f>
        <v>-36000</v>
      </c>
      <c r="S44" s="159">
        <f>-'הלוואה והוצאות מימון'!S20</f>
        <v>-38000</v>
      </c>
      <c r="T44" s="159">
        <f>-'הלוואה והוצאות מימון'!T20</f>
        <v>-40000</v>
      </c>
      <c r="U44" s="159">
        <f>-'הלוואה והוצאות מימון'!U20</f>
        <v>-42000</v>
      </c>
      <c r="V44" s="159">
        <f>-'הלוואה והוצאות מימון'!V20</f>
        <v>-44000</v>
      </c>
      <c r="W44" s="160">
        <f t="shared" si="12"/>
        <v>-416000</v>
      </c>
    </row>
    <row r="45" spans="3:23" ht="6" customHeight="1" x14ac:dyDescent="0.25">
      <c r="C45" s="187"/>
      <c r="D45" s="1"/>
      <c r="E45" s="1"/>
      <c r="F45" s="1"/>
      <c r="G45" s="1"/>
      <c r="H45" s="1"/>
      <c r="I45" s="1"/>
      <c r="J45" s="159"/>
      <c r="K45" s="159"/>
      <c r="L45" s="159"/>
      <c r="M45" s="159"/>
      <c r="N45" s="159"/>
      <c r="O45" s="159"/>
      <c r="P45" s="159"/>
      <c r="Q45" s="159"/>
      <c r="R45" s="159"/>
      <c r="S45" s="159"/>
      <c r="T45" s="159"/>
      <c r="U45" s="159"/>
      <c r="V45" s="159"/>
      <c r="W45" s="160"/>
    </row>
    <row r="46" spans="3:23" x14ac:dyDescent="0.25">
      <c r="C46" s="187" t="s">
        <v>219</v>
      </c>
      <c r="D46" s="1"/>
      <c r="E46" s="1"/>
      <c r="F46" s="1"/>
      <c r="G46" s="1"/>
      <c r="H46" s="1"/>
      <c r="I46" s="1"/>
      <c r="J46" s="190">
        <f>SUM(J42,J44)</f>
        <v>-20000</v>
      </c>
      <c r="K46" s="190">
        <f t="shared" ref="K46:V46" si="14">SUM(K42,K44)</f>
        <v>-22000</v>
      </c>
      <c r="L46" s="190">
        <f t="shared" si="14"/>
        <v>-24000</v>
      </c>
      <c r="M46" s="190">
        <f t="shared" si="14"/>
        <v>-26000</v>
      </c>
      <c r="N46" s="190">
        <f t="shared" si="14"/>
        <v>-28000</v>
      </c>
      <c r="O46" s="190">
        <f t="shared" si="14"/>
        <v>-30000</v>
      </c>
      <c r="P46" s="190">
        <f t="shared" si="14"/>
        <v>-32000</v>
      </c>
      <c r="Q46" s="190">
        <f t="shared" si="14"/>
        <v>-34000</v>
      </c>
      <c r="R46" s="190">
        <f t="shared" si="14"/>
        <v>-36000</v>
      </c>
      <c r="S46" s="190">
        <f t="shared" si="14"/>
        <v>-38000</v>
      </c>
      <c r="T46" s="190">
        <f t="shared" si="14"/>
        <v>-40000</v>
      </c>
      <c r="U46" s="190">
        <f t="shared" si="14"/>
        <v>-42000</v>
      </c>
      <c r="V46" s="190">
        <f t="shared" si="14"/>
        <v>-44000</v>
      </c>
      <c r="W46" s="191">
        <f t="shared" si="12"/>
        <v>-416000</v>
      </c>
    </row>
    <row r="47" spans="3:23" x14ac:dyDescent="0.25">
      <c r="C47" s="187"/>
      <c r="D47" s="1"/>
      <c r="E47" s="1"/>
      <c r="F47" s="1"/>
      <c r="G47" s="1"/>
      <c r="H47" s="1"/>
      <c r="I47" s="1"/>
      <c r="J47" s="159"/>
      <c r="K47" s="159"/>
      <c r="L47" s="159"/>
      <c r="M47" s="159"/>
      <c r="N47" s="159"/>
      <c r="O47" s="159"/>
      <c r="P47" s="159"/>
      <c r="Q47" s="159"/>
      <c r="R47" s="159"/>
      <c r="S47" s="159"/>
      <c r="T47" s="159"/>
      <c r="U47" s="159"/>
      <c r="V47" s="159"/>
      <c r="W47" s="160"/>
    </row>
    <row r="48" spans="3:23" x14ac:dyDescent="0.25">
      <c r="C48" s="187" t="s">
        <v>220</v>
      </c>
      <c r="D48" s="1"/>
      <c r="E48" s="1"/>
      <c r="F48" s="1"/>
      <c r="G48" s="1"/>
      <c r="H48" s="1"/>
      <c r="I48" s="1"/>
      <c r="J48" s="185">
        <f t="shared" ref="J48:V48" si="15">SUM(J31,J38,J46)</f>
        <v>-683775</v>
      </c>
      <c r="K48" s="185">
        <f t="shared" si="15"/>
        <v>539225</v>
      </c>
      <c r="L48" s="185">
        <f t="shared" si="15"/>
        <v>186000</v>
      </c>
      <c r="M48" s="185">
        <f t="shared" si="15"/>
        <v>184000</v>
      </c>
      <c r="N48" s="185">
        <f t="shared" si="15"/>
        <v>182000</v>
      </c>
      <c r="O48" s="185">
        <f t="shared" si="15"/>
        <v>180000</v>
      </c>
      <c r="P48" s="185">
        <f t="shared" si="15"/>
        <v>3245</v>
      </c>
      <c r="Q48" s="185">
        <f t="shared" si="15"/>
        <v>71490</v>
      </c>
      <c r="R48" s="185">
        <f t="shared" si="15"/>
        <v>768510</v>
      </c>
      <c r="S48" s="185">
        <f t="shared" si="15"/>
        <v>-563000</v>
      </c>
      <c r="T48" s="185">
        <f t="shared" si="15"/>
        <v>205980</v>
      </c>
      <c r="U48" s="185">
        <f t="shared" si="15"/>
        <v>63490</v>
      </c>
      <c r="V48" s="185">
        <f t="shared" si="15"/>
        <v>61490</v>
      </c>
      <c r="W48" s="186">
        <f>SUM(J48:V48)</f>
        <v>1198655</v>
      </c>
    </row>
    <row r="49" spans="3:46" x14ac:dyDescent="0.25">
      <c r="C49" s="187"/>
      <c r="D49" s="1"/>
      <c r="E49" s="1"/>
      <c r="F49" s="1"/>
      <c r="G49" s="1"/>
      <c r="H49" s="1"/>
      <c r="I49" s="1"/>
      <c r="J49" s="159"/>
      <c r="K49" s="159"/>
      <c r="L49" s="159"/>
      <c r="M49" s="159"/>
      <c r="N49" s="159"/>
      <c r="O49" s="159"/>
      <c r="P49" s="159"/>
      <c r="Q49" s="159"/>
      <c r="R49" s="159"/>
      <c r="S49" s="159"/>
      <c r="T49" s="159"/>
      <c r="U49" s="159"/>
      <c r="V49" s="159"/>
      <c r="W49" s="191">
        <f>AVERAGE(J48:V48)</f>
        <v>92204.230769230766</v>
      </c>
    </row>
    <row r="50" spans="3:46" x14ac:dyDescent="0.25">
      <c r="C50" s="187" t="s">
        <v>292</v>
      </c>
      <c r="D50" s="1"/>
      <c r="E50" s="1"/>
      <c r="F50" s="1"/>
      <c r="G50" s="1"/>
      <c r="H50" s="1"/>
      <c r="I50" s="1"/>
      <c r="J50" s="159">
        <f>MIN(SUM($I$48:J48),0)</f>
        <v>-683775</v>
      </c>
      <c r="K50" s="159">
        <f>MIN(SUM($I$48:K48),0)</f>
        <v>-144550</v>
      </c>
      <c r="L50" s="159">
        <f>MIN(SUM($I$48:L48),0)</f>
        <v>0</v>
      </c>
      <c r="M50" s="159">
        <f>MIN(SUM($I$48:M48),0)</f>
        <v>0</v>
      </c>
      <c r="N50" s="159">
        <f>MIN(SUM($I$48:N48),0)</f>
        <v>0</v>
      </c>
      <c r="O50" s="159">
        <f>MIN(SUM($I$48:O48),0)</f>
        <v>0</v>
      </c>
      <c r="P50" s="159">
        <f>MIN(SUM($I$48:P48),0)</f>
        <v>0</v>
      </c>
      <c r="Q50" s="159">
        <f>MIN(SUM($I$48:Q48),0)</f>
        <v>0</v>
      </c>
      <c r="R50" s="159">
        <f>MIN(SUM($I$48:R48),0)</f>
        <v>0</v>
      </c>
      <c r="S50" s="159">
        <f>MIN(SUM($I$48:S48),0)</f>
        <v>0</v>
      </c>
      <c r="T50" s="159">
        <f>MIN(SUM($I$48:T48),0)</f>
        <v>0</v>
      </c>
      <c r="U50" s="159">
        <f>MIN(SUM($I$48:U48),0)</f>
        <v>0</v>
      </c>
      <c r="V50" s="159">
        <f>MIN(SUM($I$48:V48),0)</f>
        <v>0</v>
      </c>
      <c r="W50" s="193"/>
    </row>
    <row r="51" spans="3:46" ht="15.75" thickBot="1" x14ac:dyDescent="0.3">
      <c r="C51" s="198"/>
      <c r="D51" s="2"/>
      <c r="E51" s="2"/>
      <c r="F51" s="2"/>
      <c r="G51" s="2"/>
      <c r="H51" s="2"/>
      <c r="I51" s="2"/>
      <c r="J51" s="260"/>
      <c r="K51" s="260"/>
      <c r="L51" s="260"/>
      <c r="M51" s="260"/>
      <c r="N51" s="260"/>
      <c r="O51" s="260"/>
      <c r="P51" s="260"/>
      <c r="Q51" s="260"/>
      <c r="R51" s="260"/>
      <c r="S51" s="260"/>
      <c r="T51" s="260"/>
      <c r="U51" s="260"/>
      <c r="V51" s="260"/>
      <c r="W51" s="261"/>
    </row>
    <row r="52" spans="3:46" ht="15.75" thickBot="1" x14ac:dyDescent="0.3">
      <c r="J52" s="259"/>
      <c r="K52" s="259"/>
      <c r="L52" s="259"/>
      <c r="M52" s="259"/>
      <c r="N52" s="259"/>
      <c r="O52" s="259"/>
      <c r="P52" s="259"/>
      <c r="Q52" s="259"/>
      <c r="R52" s="259"/>
      <c r="S52" s="259"/>
      <c r="T52" s="259"/>
      <c r="U52" s="259"/>
      <c r="V52" s="259"/>
    </row>
    <row r="53" spans="3:46" customFormat="1" ht="15.75" x14ac:dyDescent="0.25">
      <c r="C53" s="22" t="s">
        <v>59</v>
      </c>
      <c r="D53" s="34"/>
      <c r="E53" s="34"/>
      <c r="F53" s="34"/>
      <c r="G53" s="34"/>
      <c r="H53" s="34"/>
      <c r="I53" s="34"/>
      <c r="J53" s="34">
        <f>הנחות!F6</f>
        <v>43983</v>
      </c>
      <c r="K53" s="34">
        <f>EDATE(J53,1)</f>
        <v>44013</v>
      </c>
      <c r="L53" s="34">
        <f t="shared" ref="L53:V53" si="16">EDATE(K53,1)</f>
        <v>44044</v>
      </c>
      <c r="M53" s="34">
        <f t="shared" si="16"/>
        <v>44075</v>
      </c>
      <c r="N53" s="34">
        <f t="shared" si="16"/>
        <v>44105</v>
      </c>
      <c r="O53" s="34">
        <f t="shared" si="16"/>
        <v>44136</v>
      </c>
      <c r="P53" s="34">
        <f t="shared" si="16"/>
        <v>44166</v>
      </c>
      <c r="Q53" s="34">
        <f t="shared" si="16"/>
        <v>44197</v>
      </c>
      <c r="R53" s="34">
        <f t="shared" si="16"/>
        <v>44228</v>
      </c>
      <c r="S53" s="34">
        <f t="shared" si="16"/>
        <v>44256</v>
      </c>
      <c r="T53" s="34">
        <f t="shared" si="16"/>
        <v>44287</v>
      </c>
      <c r="U53" s="34">
        <f t="shared" si="16"/>
        <v>44317</v>
      </c>
      <c r="V53" s="34">
        <f t="shared" si="16"/>
        <v>44348</v>
      </c>
      <c r="W53" s="20" t="s">
        <v>23</v>
      </c>
      <c r="X53" s="7"/>
      <c r="Y53" s="7"/>
      <c r="Z53" s="7"/>
      <c r="AA53" s="7"/>
      <c r="AB53" s="7"/>
      <c r="AC53" s="7"/>
      <c r="AD53" s="7"/>
      <c r="AE53" s="7"/>
      <c r="AF53" s="7"/>
      <c r="AG53" s="7"/>
      <c r="AH53" s="7"/>
      <c r="AI53" s="7"/>
      <c r="AJ53" s="7"/>
      <c r="AK53" s="7"/>
      <c r="AL53" s="7"/>
      <c r="AM53" s="7"/>
      <c r="AN53" s="7"/>
      <c r="AO53" s="7"/>
      <c r="AP53" s="7"/>
      <c r="AQ53" s="7"/>
      <c r="AR53" s="7"/>
      <c r="AS53" s="7"/>
      <c r="AT53" s="7"/>
    </row>
    <row r="54" spans="3:46" customFormat="1" x14ac:dyDescent="0.25">
      <c r="C54" s="10"/>
      <c r="D54" s="1"/>
      <c r="E54" s="1"/>
      <c r="F54" s="1"/>
      <c r="G54" s="1"/>
      <c r="H54" s="1"/>
      <c r="I54" s="1"/>
      <c r="J54" s="18">
        <f>תזרים!J39</f>
        <v>-1242025</v>
      </c>
      <c r="K54" s="18">
        <f>תזרים!K39</f>
        <v>-17025</v>
      </c>
      <c r="L54" s="18">
        <f>תזרים!L39</f>
        <v>-168250</v>
      </c>
      <c r="M54" s="18">
        <f>תזרים!M39</f>
        <v>-168250</v>
      </c>
      <c r="N54" s="18">
        <f>תזרים!N39</f>
        <v>-168250</v>
      </c>
      <c r="O54" s="18">
        <f>תזרים!O39</f>
        <v>-168250</v>
      </c>
      <c r="P54" s="18">
        <f>תזרים!P39</f>
        <v>-197055</v>
      </c>
      <c r="Q54" s="18">
        <f>תזרים!Q39</f>
        <v>19140</v>
      </c>
      <c r="R54" s="18">
        <f>תזרים!R39</f>
        <v>280310</v>
      </c>
      <c r="S54" s="18">
        <f>תזרים!S39</f>
        <v>-611350</v>
      </c>
      <c r="T54" s="18">
        <f>תזרים!T39</f>
        <v>305580</v>
      </c>
      <c r="U54" s="18">
        <f>תזרים!U39</f>
        <v>311040</v>
      </c>
      <c r="V54" s="18">
        <f>תזרים!V39</f>
        <v>456990</v>
      </c>
      <c r="W54" s="155"/>
      <c r="X54" s="7"/>
      <c r="Y54" s="7"/>
      <c r="Z54" s="7"/>
      <c r="AA54" s="7"/>
      <c r="AB54" s="7"/>
      <c r="AC54" s="7"/>
      <c r="AD54" s="7"/>
      <c r="AE54" s="7"/>
      <c r="AF54" s="7"/>
      <c r="AG54" s="7"/>
      <c r="AH54" s="7"/>
      <c r="AI54" s="7"/>
      <c r="AJ54" s="7"/>
      <c r="AK54" s="7"/>
      <c r="AL54" s="7"/>
      <c r="AM54" s="7"/>
      <c r="AN54" s="7"/>
      <c r="AO54" s="7"/>
      <c r="AP54" s="7"/>
      <c r="AQ54" s="7"/>
      <c r="AR54" s="7"/>
      <c r="AS54" s="7"/>
      <c r="AT54" s="7"/>
    </row>
    <row r="55" spans="3:46" customFormat="1" x14ac:dyDescent="0.25">
      <c r="C55" s="10" t="s">
        <v>294</v>
      </c>
      <c r="D55" s="1"/>
      <c r="E55" s="1"/>
      <c r="F55" s="1"/>
      <c r="G55" s="1"/>
      <c r="H55" s="1"/>
      <c r="I55" s="1"/>
      <c r="J55" s="18">
        <f t="shared" ref="J55:V55" si="17">J48</f>
        <v>-683775</v>
      </c>
      <c r="K55" s="18">
        <f t="shared" si="17"/>
        <v>539225</v>
      </c>
      <c r="L55" s="18">
        <f t="shared" si="17"/>
        <v>186000</v>
      </c>
      <c r="M55" s="18">
        <f>M48</f>
        <v>184000</v>
      </c>
      <c r="N55" s="18">
        <f t="shared" si="17"/>
        <v>182000</v>
      </c>
      <c r="O55" s="18">
        <f t="shared" si="17"/>
        <v>180000</v>
      </c>
      <c r="P55" s="18">
        <f t="shared" si="17"/>
        <v>3245</v>
      </c>
      <c r="Q55" s="18">
        <f t="shared" si="17"/>
        <v>71490</v>
      </c>
      <c r="R55" s="18">
        <f t="shared" si="17"/>
        <v>768510</v>
      </c>
      <c r="S55" s="18">
        <f t="shared" si="17"/>
        <v>-563000</v>
      </c>
      <c r="T55" s="18">
        <f t="shared" si="17"/>
        <v>205980</v>
      </c>
      <c r="U55" s="18">
        <f t="shared" si="17"/>
        <v>63490</v>
      </c>
      <c r="V55" s="18">
        <f t="shared" si="17"/>
        <v>61490</v>
      </c>
      <c r="W55" s="254">
        <f>SUM(J55:V55)</f>
        <v>1198655</v>
      </c>
      <c r="X55" s="7"/>
      <c r="Y55" s="7"/>
      <c r="Z55" s="7"/>
      <c r="AA55" s="7"/>
      <c r="AB55" s="7"/>
      <c r="AC55" s="7"/>
      <c r="AD55" s="7"/>
      <c r="AE55" s="7"/>
      <c r="AF55" s="7"/>
      <c r="AG55" s="7"/>
      <c r="AH55" s="7"/>
      <c r="AI55" s="7"/>
      <c r="AJ55" s="7"/>
      <c r="AK55" s="7"/>
      <c r="AL55" s="7"/>
      <c r="AM55" s="7"/>
      <c r="AN55" s="7"/>
      <c r="AO55" s="7"/>
      <c r="AP55" s="7"/>
      <c r="AQ55" s="7"/>
      <c r="AR55" s="7"/>
      <c r="AS55" s="7"/>
      <c r="AT55" s="7"/>
    </row>
    <row r="56" spans="3:46" customFormat="1" x14ac:dyDescent="0.25">
      <c r="C56" s="10"/>
      <c r="D56" s="1"/>
      <c r="E56" s="1"/>
      <c r="F56" s="1"/>
      <c r="G56" s="1"/>
      <c r="H56" s="1"/>
      <c r="I56" s="1"/>
      <c r="J56" s="1"/>
      <c r="K56" s="1"/>
      <c r="L56" s="1"/>
      <c r="M56" s="1"/>
      <c r="N56" s="1"/>
      <c r="O56" s="1"/>
      <c r="P56" s="1"/>
      <c r="Q56" s="1"/>
      <c r="R56" s="1"/>
      <c r="S56" s="1"/>
      <c r="T56" s="1"/>
      <c r="U56" s="1"/>
      <c r="V56" s="1"/>
      <c r="W56" s="155"/>
      <c r="X56" s="7"/>
      <c r="Y56" s="7"/>
      <c r="Z56" s="7"/>
      <c r="AA56" s="7"/>
      <c r="AB56" s="7"/>
      <c r="AC56" s="7"/>
      <c r="AD56" s="7"/>
      <c r="AE56" s="7"/>
      <c r="AF56" s="7"/>
      <c r="AG56" s="7"/>
      <c r="AH56" s="7"/>
      <c r="AI56" s="7"/>
      <c r="AJ56" s="7"/>
      <c r="AK56" s="7"/>
      <c r="AL56" s="7"/>
      <c r="AM56" s="7"/>
      <c r="AN56" s="7"/>
      <c r="AO56" s="7"/>
      <c r="AP56" s="7"/>
      <c r="AQ56" s="7"/>
      <c r="AR56" s="7"/>
      <c r="AS56" s="7"/>
      <c r="AT56" s="7"/>
    </row>
    <row r="57" spans="3:46" customFormat="1" x14ac:dyDescent="0.25">
      <c r="C57" s="10" t="s">
        <v>290</v>
      </c>
      <c r="D57" s="1"/>
      <c r="E57" s="1"/>
      <c r="F57" s="1"/>
      <c r="G57" s="1"/>
      <c r="H57" s="1"/>
      <c r="I57" s="1"/>
      <c r="J57" s="18">
        <f>הוצאות!J127</f>
        <v>-718000</v>
      </c>
      <c r="K57" s="18">
        <f>הוצאות!K127</f>
        <v>-720000</v>
      </c>
      <c r="L57" s="18">
        <f>הוצאות!L127</f>
        <v>-722000</v>
      </c>
      <c r="M57" s="18">
        <f>הוצאות!M127</f>
        <v>-724000</v>
      </c>
      <c r="N57" s="18">
        <f>הוצאות!N127</f>
        <v>-726000</v>
      </c>
      <c r="O57" s="18">
        <f>הוצאות!O127</f>
        <v>-728000</v>
      </c>
      <c r="P57" s="18">
        <f>הוצאות!P127</f>
        <v>-730000</v>
      </c>
      <c r="Q57" s="18">
        <f>הוצאות!Q127</f>
        <v>-732000</v>
      </c>
      <c r="R57" s="18">
        <f>הוצאות!R127</f>
        <v>-734000</v>
      </c>
      <c r="S57" s="18">
        <f>הוצאות!S127</f>
        <v>-736000</v>
      </c>
      <c r="T57" s="18">
        <f>הוצאות!T127</f>
        <v>-738000</v>
      </c>
      <c r="U57" s="18">
        <f>הוצאות!U127</f>
        <v>-740000</v>
      </c>
      <c r="V57" s="18">
        <f>הוצאות!V127</f>
        <v>-742000</v>
      </c>
      <c r="W57" s="254">
        <f>SUM(J57:V57)</f>
        <v>-9490000</v>
      </c>
      <c r="X57" s="7"/>
      <c r="Y57" s="7"/>
      <c r="Z57" s="7"/>
      <c r="AA57" s="7"/>
      <c r="AB57" s="7"/>
      <c r="AC57" s="7"/>
      <c r="AD57" s="7"/>
      <c r="AE57" s="7"/>
      <c r="AF57" s="7"/>
      <c r="AG57" s="7"/>
      <c r="AH57" s="7"/>
      <c r="AI57" s="7"/>
      <c r="AJ57" s="7"/>
      <c r="AK57" s="7"/>
      <c r="AL57" s="7"/>
      <c r="AM57" s="7"/>
      <c r="AN57" s="7"/>
      <c r="AO57" s="7"/>
      <c r="AP57" s="7"/>
      <c r="AQ57" s="7"/>
      <c r="AR57" s="7"/>
      <c r="AS57" s="7"/>
      <c r="AT57" s="7"/>
    </row>
    <row r="58" spans="3:46" customFormat="1" x14ac:dyDescent="0.25">
      <c r="C58" s="10"/>
      <c r="D58" s="1"/>
      <c r="E58" s="1"/>
      <c r="F58" s="1"/>
      <c r="G58" s="1"/>
      <c r="H58" s="1"/>
      <c r="I58" s="1"/>
      <c r="J58" s="298"/>
      <c r="K58" s="298"/>
      <c r="L58" s="298"/>
      <c r="M58" s="298"/>
      <c r="N58" s="298"/>
      <c r="O58" s="298"/>
      <c r="P58" s="298"/>
      <c r="Q58" s="298"/>
      <c r="R58" s="298"/>
      <c r="S58" s="298"/>
      <c r="T58" s="298"/>
      <c r="U58" s="298"/>
      <c r="V58" s="298"/>
      <c r="W58" s="155"/>
      <c r="X58" s="7"/>
      <c r="Y58" s="7"/>
      <c r="Z58" s="7"/>
      <c r="AA58" s="7"/>
      <c r="AB58" s="7"/>
      <c r="AC58" s="7"/>
      <c r="AD58" s="7"/>
      <c r="AE58" s="7"/>
      <c r="AF58" s="7"/>
      <c r="AG58" s="7"/>
      <c r="AH58" s="7"/>
      <c r="AI58" s="7"/>
      <c r="AJ58" s="7"/>
      <c r="AK58" s="7"/>
      <c r="AL58" s="7"/>
      <c r="AM58" s="7"/>
      <c r="AN58" s="7"/>
      <c r="AO58" s="7"/>
      <c r="AP58" s="7"/>
      <c r="AQ58" s="7"/>
      <c r="AR58" s="7"/>
      <c r="AS58" s="7"/>
      <c r="AT58" s="7"/>
    </row>
    <row r="59" spans="3:46" customFormat="1" x14ac:dyDescent="0.25">
      <c r="C59" s="68" t="s">
        <v>60</v>
      </c>
      <c r="D59" s="1"/>
      <c r="E59" s="1"/>
      <c r="F59" s="1"/>
      <c r="G59" s="1"/>
      <c r="H59" s="1"/>
      <c r="I59" s="1"/>
      <c r="J59" s="298"/>
      <c r="K59" s="298"/>
      <c r="L59" s="298"/>
      <c r="M59" s="298"/>
      <c r="N59" s="298"/>
      <c r="O59" s="298"/>
      <c r="P59" s="298"/>
      <c r="Q59" s="298"/>
      <c r="R59" s="298"/>
      <c r="S59" s="298"/>
      <c r="T59" s="298"/>
      <c r="U59" s="298"/>
      <c r="V59" s="298"/>
      <c r="W59" s="155"/>
      <c r="X59" s="7"/>
      <c r="Y59" s="7"/>
      <c r="Z59" s="7"/>
      <c r="AA59" s="7"/>
      <c r="AB59" s="7"/>
      <c r="AC59" s="7"/>
      <c r="AD59" s="7"/>
      <c r="AE59" s="7"/>
      <c r="AF59" s="7"/>
      <c r="AG59" s="7"/>
      <c r="AH59" s="7"/>
      <c r="AI59" s="7"/>
      <c r="AJ59" s="7"/>
      <c r="AK59" s="7"/>
      <c r="AL59" s="7"/>
      <c r="AM59" s="7"/>
      <c r="AN59" s="7"/>
      <c r="AO59" s="7"/>
      <c r="AP59" s="7"/>
      <c r="AQ59" s="7"/>
      <c r="AR59" s="7"/>
      <c r="AS59" s="7"/>
      <c r="AT59" s="7"/>
    </row>
    <row r="60" spans="3:46" customFormat="1" x14ac:dyDescent="0.25">
      <c r="C60" s="69">
        <f t="array" ref="C60:C72">TRANSPOSE(J53:V53)</f>
        <v>43983</v>
      </c>
      <c r="D60" s="1"/>
      <c r="E60" s="1"/>
      <c r="F60" s="1"/>
      <c r="G60" s="1"/>
      <c r="H60" s="1"/>
      <c r="I60" s="1"/>
      <c r="J60" s="18">
        <f t="shared" ref="J60:V60" si="18">IF(J53&gt;=$C$60,J55,J57)</f>
        <v>-683775</v>
      </c>
      <c r="K60" s="18">
        <f t="shared" si="18"/>
        <v>539225</v>
      </c>
      <c r="L60" s="18">
        <f t="shared" si="18"/>
        <v>186000</v>
      </c>
      <c r="M60" s="18">
        <f t="shared" si="18"/>
        <v>184000</v>
      </c>
      <c r="N60" s="18">
        <f t="shared" si="18"/>
        <v>182000</v>
      </c>
      <c r="O60" s="18">
        <f t="shared" si="18"/>
        <v>180000</v>
      </c>
      <c r="P60" s="18">
        <f t="shared" si="18"/>
        <v>3245</v>
      </c>
      <c r="Q60" s="18">
        <f t="shared" si="18"/>
        <v>71490</v>
      </c>
      <c r="R60" s="18">
        <f t="shared" si="18"/>
        <v>768510</v>
      </c>
      <c r="S60" s="18">
        <f t="shared" si="18"/>
        <v>-563000</v>
      </c>
      <c r="T60" s="18">
        <f t="shared" si="18"/>
        <v>205980</v>
      </c>
      <c r="U60" s="18">
        <f t="shared" si="18"/>
        <v>63490</v>
      </c>
      <c r="V60" s="18">
        <f t="shared" si="18"/>
        <v>61490</v>
      </c>
      <c r="W60" s="254">
        <f t="shared" ref="W60:W72" si="19">SUM(J60:V60)</f>
        <v>1198655</v>
      </c>
      <c r="X60" s="7"/>
      <c r="Y60" s="7"/>
      <c r="Z60" s="7"/>
      <c r="AA60" s="7"/>
      <c r="AB60" s="7"/>
      <c r="AC60" s="7"/>
      <c r="AD60" s="7"/>
      <c r="AE60" s="7"/>
      <c r="AF60" s="7"/>
      <c r="AG60" s="7"/>
      <c r="AH60" s="7"/>
      <c r="AI60" s="7"/>
      <c r="AJ60" s="7"/>
      <c r="AK60" s="7"/>
      <c r="AL60" s="7"/>
      <c r="AM60" s="7"/>
      <c r="AN60" s="7"/>
      <c r="AO60" s="7"/>
      <c r="AP60" s="7"/>
      <c r="AQ60" s="7"/>
      <c r="AR60" s="7"/>
      <c r="AS60" s="7"/>
      <c r="AT60" s="7"/>
    </row>
    <row r="61" spans="3:46" customFormat="1" x14ac:dyDescent="0.25">
      <c r="C61" s="69">
        <v>44013</v>
      </c>
      <c r="D61" s="1"/>
      <c r="E61" s="1"/>
      <c r="F61" s="1"/>
      <c r="G61" s="1"/>
      <c r="H61" s="1"/>
      <c r="I61" s="1"/>
      <c r="J61" s="18">
        <f t="shared" ref="J61:V61" si="20">IF(J53&gt;=$C$61,J55,J57)</f>
        <v>-718000</v>
      </c>
      <c r="K61" s="18">
        <f t="shared" si="20"/>
        <v>539225</v>
      </c>
      <c r="L61" s="18">
        <f t="shared" si="20"/>
        <v>186000</v>
      </c>
      <c r="M61" s="18">
        <f t="shared" si="20"/>
        <v>184000</v>
      </c>
      <c r="N61" s="18">
        <f t="shared" si="20"/>
        <v>182000</v>
      </c>
      <c r="O61" s="18">
        <f t="shared" si="20"/>
        <v>180000</v>
      </c>
      <c r="P61" s="18">
        <f t="shared" si="20"/>
        <v>3245</v>
      </c>
      <c r="Q61" s="18">
        <f t="shared" si="20"/>
        <v>71490</v>
      </c>
      <c r="R61" s="18">
        <f t="shared" si="20"/>
        <v>768510</v>
      </c>
      <c r="S61" s="18">
        <f t="shared" si="20"/>
        <v>-563000</v>
      </c>
      <c r="T61" s="18">
        <f t="shared" si="20"/>
        <v>205980</v>
      </c>
      <c r="U61" s="18">
        <f t="shared" si="20"/>
        <v>63490</v>
      </c>
      <c r="V61" s="18">
        <f t="shared" si="20"/>
        <v>61490</v>
      </c>
      <c r="W61" s="254">
        <f t="shared" si="19"/>
        <v>1164430</v>
      </c>
      <c r="X61" s="7"/>
      <c r="Y61" s="7"/>
      <c r="Z61" s="7"/>
      <c r="AA61" s="7"/>
      <c r="AB61" s="7"/>
      <c r="AC61" s="7"/>
      <c r="AD61" s="7"/>
      <c r="AE61" s="7"/>
      <c r="AF61" s="7"/>
      <c r="AG61" s="7"/>
      <c r="AH61" s="7"/>
      <c r="AI61" s="7"/>
      <c r="AJ61" s="7"/>
      <c r="AK61" s="7"/>
      <c r="AL61" s="7"/>
      <c r="AM61" s="7"/>
      <c r="AN61" s="7"/>
      <c r="AO61" s="7"/>
      <c r="AP61" s="7"/>
      <c r="AQ61" s="7"/>
      <c r="AR61" s="7"/>
      <c r="AS61" s="7"/>
      <c r="AT61" s="7"/>
    </row>
    <row r="62" spans="3:46" customFormat="1" x14ac:dyDescent="0.25">
      <c r="C62" s="69">
        <v>44044</v>
      </c>
      <c r="D62" s="1"/>
      <c r="E62" s="1"/>
      <c r="F62" s="1"/>
      <c r="G62" s="1"/>
      <c r="H62" s="1"/>
      <c r="I62" s="1"/>
      <c r="J62" s="18">
        <f t="shared" ref="J62:V62" si="21">IF(J53&gt;=$C$62,J55,J57)</f>
        <v>-718000</v>
      </c>
      <c r="K62" s="18">
        <f t="shared" si="21"/>
        <v>-720000</v>
      </c>
      <c r="L62" s="18">
        <f t="shared" si="21"/>
        <v>186000</v>
      </c>
      <c r="M62" s="18">
        <f t="shared" si="21"/>
        <v>184000</v>
      </c>
      <c r="N62" s="18">
        <f t="shared" si="21"/>
        <v>182000</v>
      </c>
      <c r="O62" s="18">
        <f t="shared" si="21"/>
        <v>180000</v>
      </c>
      <c r="P62" s="18">
        <f t="shared" si="21"/>
        <v>3245</v>
      </c>
      <c r="Q62" s="18">
        <f t="shared" si="21"/>
        <v>71490</v>
      </c>
      <c r="R62" s="18">
        <f t="shared" si="21"/>
        <v>768510</v>
      </c>
      <c r="S62" s="18">
        <f t="shared" si="21"/>
        <v>-563000</v>
      </c>
      <c r="T62" s="18">
        <f t="shared" si="21"/>
        <v>205980</v>
      </c>
      <c r="U62" s="18">
        <f t="shared" si="21"/>
        <v>63490</v>
      </c>
      <c r="V62" s="18">
        <f t="shared" si="21"/>
        <v>61490</v>
      </c>
      <c r="W62" s="254">
        <f t="shared" si="19"/>
        <v>-94795</v>
      </c>
      <c r="X62" s="7"/>
      <c r="Y62" s="7"/>
      <c r="Z62" s="7"/>
      <c r="AA62" s="7"/>
      <c r="AB62" s="7"/>
      <c r="AC62" s="7"/>
      <c r="AD62" s="7"/>
      <c r="AE62" s="7"/>
      <c r="AF62" s="7"/>
      <c r="AG62" s="7"/>
      <c r="AH62" s="7"/>
      <c r="AI62" s="7"/>
      <c r="AJ62" s="7"/>
      <c r="AK62" s="7"/>
      <c r="AL62" s="7"/>
      <c r="AM62" s="7"/>
      <c r="AN62" s="7"/>
      <c r="AO62" s="7"/>
      <c r="AP62" s="7"/>
      <c r="AQ62" s="7"/>
      <c r="AR62" s="7"/>
      <c r="AS62" s="7"/>
      <c r="AT62" s="7"/>
    </row>
    <row r="63" spans="3:46" customFormat="1" x14ac:dyDescent="0.25">
      <c r="C63" s="69">
        <v>44075</v>
      </c>
      <c r="D63" s="1"/>
      <c r="E63" s="1"/>
      <c r="F63" s="1"/>
      <c r="G63" s="1"/>
      <c r="H63" s="1"/>
      <c r="I63" s="1"/>
      <c r="J63" s="18">
        <f t="shared" ref="J63:V63" si="22">IF(J53&gt;=$C$63,J55,J57)</f>
        <v>-718000</v>
      </c>
      <c r="K63" s="18">
        <f t="shared" si="22"/>
        <v>-720000</v>
      </c>
      <c r="L63" s="18">
        <f t="shared" si="22"/>
        <v>-722000</v>
      </c>
      <c r="M63" s="18">
        <f t="shared" si="22"/>
        <v>184000</v>
      </c>
      <c r="N63" s="18">
        <f t="shared" si="22"/>
        <v>182000</v>
      </c>
      <c r="O63" s="18">
        <f t="shared" si="22"/>
        <v>180000</v>
      </c>
      <c r="P63" s="18">
        <f t="shared" si="22"/>
        <v>3245</v>
      </c>
      <c r="Q63" s="18">
        <f t="shared" si="22"/>
        <v>71490</v>
      </c>
      <c r="R63" s="18">
        <f t="shared" si="22"/>
        <v>768510</v>
      </c>
      <c r="S63" s="18">
        <f t="shared" si="22"/>
        <v>-563000</v>
      </c>
      <c r="T63" s="18">
        <f t="shared" si="22"/>
        <v>205980</v>
      </c>
      <c r="U63" s="18">
        <f t="shared" si="22"/>
        <v>63490</v>
      </c>
      <c r="V63" s="18">
        <f t="shared" si="22"/>
        <v>61490</v>
      </c>
      <c r="W63" s="254">
        <f t="shared" si="19"/>
        <v>-1002795</v>
      </c>
      <c r="X63" s="7"/>
      <c r="Y63" s="7"/>
      <c r="Z63" s="7"/>
      <c r="AA63" s="7"/>
      <c r="AB63" s="7"/>
      <c r="AC63" s="7"/>
      <c r="AD63" s="7"/>
      <c r="AE63" s="7"/>
      <c r="AF63" s="7"/>
      <c r="AG63" s="7"/>
      <c r="AH63" s="7"/>
      <c r="AI63" s="7"/>
      <c r="AJ63" s="7"/>
      <c r="AK63" s="7"/>
      <c r="AL63" s="7"/>
      <c r="AM63" s="7"/>
      <c r="AN63" s="7"/>
      <c r="AO63" s="7"/>
      <c r="AP63" s="7"/>
      <c r="AQ63" s="7"/>
      <c r="AR63" s="7"/>
      <c r="AS63" s="7"/>
      <c r="AT63" s="7"/>
    </row>
    <row r="64" spans="3:46" customFormat="1" x14ac:dyDescent="0.25">
      <c r="C64" s="69">
        <v>44105</v>
      </c>
      <c r="D64" s="1"/>
      <c r="E64" s="1"/>
      <c r="F64" s="1"/>
      <c r="G64" s="1"/>
      <c r="H64" s="1"/>
      <c r="I64" s="1"/>
      <c r="J64" s="18">
        <f t="shared" ref="J64:V64" si="23">IF(J53&gt;=$C$64,J55,J57)</f>
        <v>-718000</v>
      </c>
      <c r="K64" s="18">
        <f t="shared" si="23"/>
        <v>-720000</v>
      </c>
      <c r="L64" s="18">
        <f t="shared" si="23"/>
        <v>-722000</v>
      </c>
      <c r="M64" s="18">
        <f t="shared" si="23"/>
        <v>-724000</v>
      </c>
      <c r="N64" s="18">
        <f t="shared" si="23"/>
        <v>182000</v>
      </c>
      <c r="O64" s="18">
        <f t="shared" si="23"/>
        <v>180000</v>
      </c>
      <c r="P64" s="18">
        <f t="shared" si="23"/>
        <v>3245</v>
      </c>
      <c r="Q64" s="18">
        <f t="shared" si="23"/>
        <v>71490</v>
      </c>
      <c r="R64" s="18">
        <f t="shared" si="23"/>
        <v>768510</v>
      </c>
      <c r="S64" s="18">
        <f t="shared" si="23"/>
        <v>-563000</v>
      </c>
      <c r="T64" s="18">
        <f t="shared" si="23"/>
        <v>205980</v>
      </c>
      <c r="U64" s="18">
        <f t="shared" si="23"/>
        <v>63490</v>
      </c>
      <c r="V64" s="18">
        <f t="shared" si="23"/>
        <v>61490</v>
      </c>
      <c r="W64" s="254">
        <f t="shared" si="19"/>
        <v>-1910795</v>
      </c>
      <c r="X64" s="7"/>
      <c r="Y64" s="7"/>
      <c r="Z64" s="7"/>
      <c r="AA64" s="7"/>
      <c r="AB64" s="7"/>
      <c r="AC64" s="7"/>
      <c r="AD64" s="7"/>
      <c r="AE64" s="7"/>
      <c r="AF64" s="7"/>
      <c r="AG64" s="7"/>
      <c r="AH64" s="7"/>
      <c r="AI64" s="7"/>
      <c r="AJ64" s="7"/>
      <c r="AK64" s="7"/>
      <c r="AL64" s="7"/>
      <c r="AM64" s="7"/>
      <c r="AN64" s="7"/>
      <c r="AO64" s="7"/>
      <c r="AP64" s="7"/>
      <c r="AQ64" s="7"/>
      <c r="AR64" s="7"/>
      <c r="AS64" s="7"/>
      <c r="AT64" s="7"/>
    </row>
    <row r="65" spans="3:46" customFormat="1" x14ac:dyDescent="0.25">
      <c r="C65" s="69">
        <v>44136</v>
      </c>
      <c r="D65" s="1"/>
      <c r="E65" s="1"/>
      <c r="F65" s="1"/>
      <c r="G65" s="1"/>
      <c r="H65" s="1"/>
      <c r="I65" s="1"/>
      <c r="J65" s="18">
        <f t="shared" ref="J65:V65" si="24">IF(J53&gt;=$C$65,J55,J57)</f>
        <v>-718000</v>
      </c>
      <c r="K65" s="18">
        <f t="shared" si="24"/>
        <v>-720000</v>
      </c>
      <c r="L65" s="18">
        <f t="shared" si="24"/>
        <v>-722000</v>
      </c>
      <c r="M65" s="18">
        <f t="shared" si="24"/>
        <v>-724000</v>
      </c>
      <c r="N65" s="18">
        <f t="shared" si="24"/>
        <v>-726000</v>
      </c>
      <c r="O65" s="18">
        <f t="shared" si="24"/>
        <v>180000</v>
      </c>
      <c r="P65" s="18">
        <f t="shared" si="24"/>
        <v>3245</v>
      </c>
      <c r="Q65" s="18">
        <f t="shared" si="24"/>
        <v>71490</v>
      </c>
      <c r="R65" s="18">
        <f t="shared" si="24"/>
        <v>768510</v>
      </c>
      <c r="S65" s="18">
        <f t="shared" si="24"/>
        <v>-563000</v>
      </c>
      <c r="T65" s="18">
        <f t="shared" si="24"/>
        <v>205980</v>
      </c>
      <c r="U65" s="18">
        <f t="shared" si="24"/>
        <v>63490</v>
      </c>
      <c r="V65" s="18">
        <f t="shared" si="24"/>
        <v>61490</v>
      </c>
      <c r="W65" s="254">
        <f t="shared" si="19"/>
        <v>-2818795</v>
      </c>
      <c r="X65" s="7"/>
      <c r="Y65" s="7"/>
      <c r="Z65" s="7"/>
      <c r="AA65" s="7"/>
      <c r="AB65" s="7"/>
      <c r="AC65" s="7"/>
      <c r="AD65" s="7"/>
      <c r="AE65" s="7"/>
      <c r="AF65" s="7"/>
      <c r="AH65" s="7"/>
      <c r="AI65" s="7"/>
      <c r="AJ65" s="7"/>
      <c r="AK65" s="7"/>
      <c r="AL65" s="7"/>
      <c r="AM65" s="7"/>
      <c r="AN65" s="7"/>
      <c r="AO65" s="7"/>
      <c r="AP65" s="7"/>
      <c r="AQ65" s="7"/>
      <c r="AR65" s="7"/>
      <c r="AS65" s="7"/>
      <c r="AT65" s="7"/>
    </row>
    <row r="66" spans="3:46" customFormat="1" x14ac:dyDescent="0.25">
      <c r="C66" s="69">
        <v>44166</v>
      </c>
      <c r="D66" s="1"/>
      <c r="E66" s="1"/>
      <c r="F66" s="1"/>
      <c r="G66" s="1"/>
      <c r="H66" s="1"/>
      <c r="I66" s="1"/>
      <c r="J66" s="18">
        <f t="shared" ref="J66:V66" si="25">IF(J53&gt;=$C$66,J55,J57)</f>
        <v>-718000</v>
      </c>
      <c r="K66" s="18">
        <f t="shared" si="25"/>
        <v>-720000</v>
      </c>
      <c r="L66" s="18">
        <f t="shared" si="25"/>
        <v>-722000</v>
      </c>
      <c r="M66" s="18">
        <f t="shared" si="25"/>
        <v>-724000</v>
      </c>
      <c r="N66" s="18">
        <f t="shared" si="25"/>
        <v>-726000</v>
      </c>
      <c r="O66" s="18">
        <f t="shared" si="25"/>
        <v>-728000</v>
      </c>
      <c r="P66" s="18">
        <f t="shared" si="25"/>
        <v>3245</v>
      </c>
      <c r="Q66" s="18">
        <f t="shared" si="25"/>
        <v>71490</v>
      </c>
      <c r="R66" s="18">
        <f t="shared" si="25"/>
        <v>768510</v>
      </c>
      <c r="S66" s="18">
        <f t="shared" si="25"/>
        <v>-563000</v>
      </c>
      <c r="T66" s="18">
        <f t="shared" si="25"/>
        <v>205980</v>
      </c>
      <c r="U66" s="18">
        <f t="shared" si="25"/>
        <v>63490</v>
      </c>
      <c r="V66" s="18">
        <f t="shared" si="25"/>
        <v>61490</v>
      </c>
      <c r="W66" s="254">
        <f t="shared" si="19"/>
        <v>-3726795</v>
      </c>
      <c r="X66" s="7"/>
      <c r="Y66" s="7"/>
      <c r="Z66" s="7"/>
      <c r="AA66" s="7"/>
      <c r="AB66" s="7"/>
      <c r="AC66" s="7"/>
      <c r="AD66" s="7"/>
      <c r="AE66" s="7"/>
      <c r="AF66" s="7"/>
      <c r="AG66" s="7"/>
      <c r="AH66" s="7"/>
      <c r="AI66" s="7"/>
      <c r="AJ66" s="7"/>
      <c r="AK66" s="7"/>
      <c r="AL66" s="7"/>
      <c r="AM66" s="7"/>
      <c r="AN66" s="7"/>
      <c r="AO66" s="7"/>
      <c r="AP66" s="7"/>
      <c r="AQ66" s="7"/>
      <c r="AR66" s="7"/>
      <c r="AS66" s="7"/>
      <c r="AT66" s="7"/>
    </row>
    <row r="67" spans="3:46" customFormat="1" x14ac:dyDescent="0.25">
      <c r="C67" s="69">
        <v>44197</v>
      </c>
      <c r="D67" s="1"/>
      <c r="E67" s="1"/>
      <c r="F67" s="1"/>
      <c r="G67" s="1"/>
      <c r="H67" s="1"/>
      <c r="I67" s="1"/>
      <c r="J67" s="18">
        <f t="shared" ref="J67:V67" si="26">IF(J53&gt;=$C$67,J55,J57)</f>
        <v>-718000</v>
      </c>
      <c r="K67" s="18">
        <f t="shared" si="26"/>
        <v>-720000</v>
      </c>
      <c r="L67" s="18">
        <f t="shared" si="26"/>
        <v>-722000</v>
      </c>
      <c r="M67" s="18">
        <f t="shared" si="26"/>
        <v>-724000</v>
      </c>
      <c r="N67" s="18">
        <f t="shared" si="26"/>
        <v>-726000</v>
      </c>
      <c r="O67" s="18">
        <f t="shared" si="26"/>
        <v>-728000</v>
      </c>
      <c r="P67" s="18">
        <f t="shared" si="26"/>
        <v>-730000</v>
      </c>
      <c r="Q67" s="18">
        <f t="shared" si="26"/>
        <v>71490</v>
      </c>
      <c r="R67" s="18">
        <f t="shared" si="26"/>
        <v>768510</v>
      </c>
      <c r="S67" s="18">
        <f t="shared" si="26"/>
        <v>-563000</v>
      </c>
      <c r="T67" s="18">
        <f t="shared" si="26"/>
        <v>205980</v>
      </c>
      <c r="U67" s="18">
        <f t="shared" si="26"/>
        <v>63490</v>
      </c>
      <c r="V67" s="18">
        <f t="shared" si="26"/>
        <v>61490</v>
      </c>
      <c r="W67" s="254">
        <f t="shared" si="19"/>
        <v>-4460040</v>
      </c>
      <c r="X67" s="7"/>
      <c r="Y67" s="7"/>
      <c r="Z67" s="7"/>
      <c r="AA67" s="7"/>
      <c r="AB67" s="7"/>
      <c r="AC67" s="7"/>
      <c r="AD67" s="7"/>
      <c r="AE67" s="7"/>
      <c r="AF67" s="7"/>
      <c r="AG67" s="7"/>
      <c r="AH67" s="7"/>
      <c r="AI67" s="7"/>
      <c r="AJ67" s="7"/>
      <c r="AK67" s="7"/>
      <c r="AL67" s="7"/>
      <c r="AM67" s="7"/>
      <c r="AN67" s="7"/>
      <c r="AO67" s="7"/>
      <c r="AP67" s="7"/>
      <c r="AQ67" s="7"/>
      <c r="AR67" s="7"/>
      <c r="AS67" s="7"/>
      <c r="AT67" s="7"/>
    </row>
    <row r="68" spans="3:46" customFormat="1" x14ac:dyDescent="0.25">
      <c r="C68" s="69">
        <v>44228</v>
      </c>
      <c r="D68" s="1"/>
      <c r="E68" s="1"/>
      <c r="F68" s="1"/>
      <c r="G68" s="1"/>
      <c r="H68" s="1"/>
      <c r="I68" s="1"/>
      <c r="J68" s="18">
        <f t="shared" ref="J68:V68" si="27">IF(J53&gt;=$C$68,J55,J57)</f>
        <v>-718000</v>
      </c>
      <c r="K68" s="18">
        <f t="shared" si="27"/>
        <v>-720000</v>
      </c>
      <c r="L68" s="18">
        <f t="shared" si="27"/>
        <v>-722000</v>
      </c>
      <c r="M68" s="18">
        <f t="shared" si="27"/>
        <v>-724000</v>
      </c>
      <c r="N68" s="18">
        <f t="shared" si="27"/>
        <v>-726000</v>
      </c>
      <c r="O68" s="18">
        <f t="shared" si="27"/>
        <v>-728000</v>
      </c>
      <c r="P68" s="18">
        <f t="shared" si="27"/>
        <v>-730000</v>
      </c>
      <c r="Q68" s="18">
        <f t="shared" si="27"/>
        <v>-732000</v>
      </c>
      <c r="R68" s="18">
        <f t="shared" si="27"/>
        <v>768510</v>
      </c>
      <c r="S68" s="18">
        <f t="shared" si="27"/>
        <v>-563000</v>
      </c>
      <c r="T68" s="18">
        <f t="shared" si="27"/>
        <v>205980</v>
      </c>
      <c r="U68" s="18">
        <f t="shared" si="27"/>
        <v>63490</v>
      </c>
      <c r="V68" s="18">
        <f t="shared" si="27"/>
        <v>61490</v>
      </c>
      <c r="W68" s="254">
        <f t="shared" si="19"/>
        <v>-5263530</v>
      </c>
      <c r="X68" s="7"/>
      <c r="Y68" s="7"/>
      <c r="Z68" s="7"/>
      <c r="AA68" s="7"/>
      <c r="AB68" s="7"/>
      <c r="AC68" s="7"/>
      <c r="AD68" s="7"/>
      <c r="AE68" s="7"/>
      <c r="AF68" s="7"/>
      <c r="AG68" s="7"/>
      <c r="AH68" s="7"/>
      <c r="AI68" s="7"/>
      <c r="AJ68" s="7"/>
      <c r="AK68" s="7"/>
      <c r="AL68" s="7"/>
      <c r="AM68" s="7"/>
      <c r="AN68" s="7"/>
      <c r="AO68" s="7"/>
      <c r="AP68" s="7"/>
      <c r="AQ68" s="7"/>
      <c r="AR68" s="7"/>
      <c r="AS68" s="7"/>
      <c r="AT68" s="7"/>
    </row>
    <row r="69" spans="3:46" customFormat="1" x14ac:dyDescent="0.25">
      <c r="C69" s="69">
        <v>44256</v>
      </c>
      <c r="D69" s="1"/>
      <c r="E69" s="1"/>
      <c r="F69" s="1"/>
      <c r="G69" s="1"/>
      <c r="H69" s="1"/>
      <c r="I69" s="1"/>
      <c r="J69" s="18">
        <f t="shared" ref="J69:V69" si="28">IF(J53&gt;=$C$69,J55,J57)</f>
        <v>-718000</v>
      </c>
      <c r="K69" s="18">
        <f t="shared" si="28"/>
        <v>-720000</v>
      </c>
      <c r="L69" s="18">
        <f t="shared" si="28"/>
        <v>-722000</v>
      </c>
      <c r="M69" s="18">
        <f t="shared" si="28"/>
        <v>-724000</v>
      </c>
      <c r="N69" s="18">
        <f t="shared" si="28"/>
        <v>-726000</v>
      </c>
      <c r="O69" s="18">
        <f t="shared" si="28"/>
        <v>-728000</v>
      </c>
      <c r="P69" s="18">
        <f t="shared" si="28"/>
        <v>-730000</v>
      </c>
      <c r="Q69" s="18">
        <f t="shared" si="28"/>
        <v>-732000</v>
      </c>
      <c r="R69" s="18">
        <f t="shared" si="28"/>
        <v>-734000</v>
      </c>
      <c r="S69" s="18">
        <f t="shared" si="28"/>
        <v>-563000</v>
      </c>
      <c r="T69" s="18">
        <f t="shared" si="28"/>
        <v>205980</v>
      </c>
      <c r="U69" s="18">
        <f t="shared" si="28"/>
        <v>63490</v>
      </c>
      <c r="V69" s="18">
        <f t="shared" si="28"/>
        <v>61490</v>
      </c>
      <c r="W69" s="254">
        <f t="shared" si="19"/>
        <v>-6766040</v>
      </c>
      <c r="X69" s="7"/>
      <c r="Y69" s="7"/>
      <c r="Z69" s="7"/>
      <c r="AA69" s="7"/>
      <c r="AB69" s="7"/>
      <c r="AC69" s="7"/>
      <c r="AD69" s="7"/>
      <c r="AE69" s="7"/>
      <c r="AF69" s="7"/>
      <c r="AG69" s="7"/>
      <c r="AH69" s="7"/>
      <c r="AI69" s="7"/>
      <c r="AJ69" s="7"/>
      <c r="AK69" s="7"/>
      <c r="AL69" s="7"/>
      <c r="AM69" s="7"/>
      <c r="AN69" s="7"/>
      <c r="AO69" s="7"/>
      <c r="AP69" s="7"/>
      <c r="AQ69" s="7"/>
      <c r="AR69" s="7"/>
      <c r="AS69" s="7"/>
      <c r="AT69" s="7"/>
    </row>
    <row r="70" spans="3:46" customFormat="1" x14ac:dyDescent="0.25">
      <c r="C70" s="69">
        <v>44287</v>
      </c>
      <c r="D70" s="1"/>
      <c r="E70" s="1"/>
      <c r="F70" s="1"/>
      <c r="G70" s="1"/>
      <c r="H70" s="1"/>
      <c r="I70" s="1"/>
      <c r="J70" s="18">
        <f t="shared" ref="J70:V70" si="29">IF(J53&gt;=$C$70,J55,J57)</f>
        <v>-718000</v>
      </c>
      <c r="K70" s="18">
        <f t="shared" si="29"/>
        <v>-720000</v>
      </c>
      <c r="L70" s="18">
        <f t="shared" si="29"/>
        <v>-722000</v>
      </c>
      <c r="M70" s="18">
        <f t="shared" si="29"/>
        <v>-724000</v>
      </c>
      <c r="N70" s="18">
        <f t="shared" si="29"/>
        <v>-726000</v>
      </c>
      <c r="O70" s="18">
        <f t="shared" si="29"/>
        <v>-728000</v>
      </c>
      <c r="P70" s="18">
        <f t="shared" si="29"/>
        <v>-730000</v>
      </c>
      <c r="Q70" s="18">
        <f t="shared" si="29"/>
        <v>-732000</v>
      </c>
      <c r="R70" s="18">
        <f t="shared" si="29"/>
        <v>-734000</v>
      </c>
      <c r="S70" s="18">
        <f t="shared" si="29"/>
        <v>-736000</v>
      </c>
      <c r="T70" s="18">
        <f t="shared" si="29"/>
        <v>205980</v>
      </c>
      <c r="U70" s="18">
        <f t="shared" si="29"/>
        <v>63490</v>
      </c>
      <c r="V70" s="18">
        <f t="shared" si="29"/>
        <v>61490</v>
      </c>
      <c r="W70" s="254">
        <f t="shared" si="19"/>
        <v>-6939040</v>
      </c>
      <c r="X70" s="7"/>
      <c r="Y70" s="7"/>
      <c r="Z70" s="7"/>
      <c r="AA70" s="7"/>
      <c r="AB70" s="7"/>
      <c r="AC70" s="7"/>
      <c r="AD70" s="7"/>
      <c r="AE70" s="7"/>
      <c r="AF70" s="7"/>
      <c r="AG70" s="7"/>
      <c r="AH70" s="7"/>
      <c r="AI70" s="7"/>
      <c r="AJ70" s="7"/>
      <c r="AK70" s="7"/>
      <c r="AL70" s="7"/>
      <c r="AM70" s="7"/>
      <c r="AN70" s="7"/>
      <c r="AO70" s="7"/>
      <c r="AP70" s="7"/>
      <c r="AQ70" s="7"/>
      <c r="AR70" s="7"/>
      <c r="AS70" s="7"/>
      <c r="AT70" s="7"/>
    </row>
    <row r="71" spans="3:46" customFormat="1" x14ac:dyDescent="0.25">
      <c r="C71" s="69">
        <v>44317</v>
      </c>
      <c r="D71" s="1"/>
      <c r="E71" s="1"/>
      <c r="F71" s="1"/>
      <c r="G71" s="1"/>
      <c r="H71" s="1"/>
      <c r="I71" s="1"/>
      <c r="J71" s="18">
        <f t="shared" ref="J71:V71" si="30">IF(J53&gt;=$C$71,J55,J57)</f>
        <v>-718000</v>
      </c>
      <c r="K71" s="18">
        <f t="shared" si="30"/>
        <v>-720000</v>
      </c>
      <c r="L71" s="18">
        <f t="shared" si="30"/>
        <v>-722000</v>
      </c>
      <c r="M71" s="18">
        <f t="shared" si="30"/>
        <v>-724000</v>
      </c>
      <c r="N71" s="18">
        <f t="shared" si="30"/>
        <v>-726000</v>
      </c>
      <c r="O71" s="18">
        <f t="shared" si="30"/>
        <v>-728000</v>
      </c>
      <c r="P71" s="18">
        <f t="shared" si="30"/>
        <v>-730000</v>
      </c>
      <c r="Q71" s="18">
        <f t="shared" si="30"/>
        <v>-732000</v>
      </c>
      <c r="R71" s="18">
        <f t="shared" si="30"/>
        <v>-734000</v>
      </c>
      <c r="S71" s="18">
        <f t="shared" si="30"/>
        <v>-736000</v>
      </c>
      <c r="T71" s="18">
        <f t="shared" si="30"/>
        <v>-738000</v>
      </c>
      <c r="U71" s="18">
        <f t="shared" si="30"/>
        <v>63490</v>
      </c>
      <c r="V71" s="18">
        <f t="shared" si="30"/>
        <v>61490</v>
      </c>
      <c r="W71" s="254">
        <f t="shared" si="19"/>
        <v>-7883020</v>
      </c>
      <c r="X71" s="7"/>
      <c r="Y71" s="7"/>
      <c r="Z71" s="7"/>
      <c r="AA71" s="7"/>
      <c r="AB71" s="7"/>
      <c r="AC71" s="7"/>
      <c r="AD71" s="7"/>
      <c r="AE71" s="7"/>
      <c r="AF71" s="7"/>
      <c r="AG71" s="7"/>
      <c r="AH71" s="7"/>
      <c r="AI71" s="7"/>
      <c r="AJ71" s="7"/>
      <c r="AK71" s="7"/>
      <c r="AL71" s="7"/>
      <c r="AM71" s="7"/>
      <c r="AN71" s="7"/>
      <c r="AO71" s="7"/>
      <c r="AP71" s="7"/>
      <c r="AQ71" s="7"/>
      <c r="AR71" s="7"/>
      <c r="AS71" s="7"/>
      <c r="AT71" s="7"/>
    </row>
    <row r="72" spans="3:46" customFormat="1" x14ac:dyDescent="0.25">
      <c r="C72" s="69">
        <v>44348</v>
      </c>
      <c r="D72" s="1"/>
      <c r="E72" s="1"/>
      <c r="F72" s="1"/>
      <c r="G72" s="1"/>
      <c r="H72" s="1"/>
      <c r="I72" s="1"/>
      <c r="J72" s="18">
        <f t="shared" ref="J72:V72" si="31">IF(J53&gt;=$C$72,J55,J57)</f>
        <v>-718000</v>
      </c>
      <c r="K72" s="18">
        <f t="shared" si="31"/>
        <v>-720000</v>
      </c>
      <c r="L72" s="18">
        <f t="shared" si="31"/>
        <v>-722000</v>
      </c>
      <c r="M72" s="18">
        <f t="shared" si="31"/>
        <v>-724000</v>
      </c>
      <c r="N72" s="18">
        <f t="shared" si="31"/>
        <v>-726000</v>
      </c>
      <c r="O72" s="18">
        <f t="shared" si="31"/>
        <v>-728000</v>
      </c>
      <c r="P72" s="18">
        <f t="shared" si="31"/>
        <v>-730000</v>
      </c>
      <c r="Q72" s="18">
        <f t="shared" si="31"/>
        <v>-732000</v>
      </c>
      <c r="R72" s="18">
        <f t="shared" si="31"/>
        <v>-734000</v>
      </c>
      <c r="S72" s="18">
        <f t="shared" si="31"/>
        <v>-736000</v>
      </c>
      <c r="T72" s="18">
        <f t="shared" si="31"/>
        <v>-738000</v>
      </c>
      <c r="U72" s="18">
        <f t="shared" si="31"/>
        <v>-740000</v>
      </c>
      <c r="V72" s="18">
        <f t="shared" si="31"/>
        <v>61490</v>
      </c>
      <c r="W72" s="254">
        <f t="shared" si="19"/>
        <v>-8686510</v>
      </c>
      <c r="X72" s="7"/>
      <c r="Y72" s="7"/>
      <c r="Z72" s="7"/>
      <c r="AA72" s="7"/>
      <c r="AB72" s="7"/>
      <c r="AC72" s="7"/>
      <c r="AD72" s="7"/>
      <c r="AE72" s="7"/>
      <c r="AF72" s="7"/>
      <c r="AG72" s="7"/>
      <c r="AH72" s="7"/>
      <c r="AI72" s="7"/>
      <c r="AJ72" s="7"/>
      <c r="AK72" s="7"/>
      <c r="AL72" s="7"/>
      <c r="AM72" s="7"/>
      <c r="AN72" s="7"/>
      <c r="AO72" s="7"/>
      <c r="AP72" s="7"/>
      <c r="AQ72" s="7"/>
      <c r="AR72" s="7"/>
      <c r="AS72" s="7"/>
      <c r="AT72" s="7"/>
    </row>
    <row r="73" spans="3:46" customFormat="1" x14ac:dyDescent="0.25">
      <c r="C73" s="10"/>
      <c r="D73" s="1"/>
      <c r="E73" s="1"/>
      <c r="F73" s="1"/>
      <c r="G73" s="1"/>
      <c r="H73" s="1"/>
      <c r="I73" s="1"/>
      <c r="J73" s="1"/>
      <c r="K73" s="1"/>
      <c r="L73" s="1"/>
      <c r="M73" s="1"/>
      <c r="N73" s="1"/>
      <c r="O73" s="1"/>
      <c r="P73" s="1"/>
      <c r="Q73" s="1"/>
      <c r="R73" s="1"/>
      <c r="S73" s="1"/>
      <c r="T73" s="1"/>
      <c r="U73" s="1"/>
      <c r="V73" s="1"/>
      <c r="W73" s="155"/>
      <c r="X73" s="7"/>
      <c r="Y73" s="7"/>
      <c r="Z73" s="7"/>
      <c r="AA73" s="7"/>
      <c r="AB73" s="7"/>
      <c r="AC73" s="7"/>
      <c r="AD73" s="7"/>
      <c r="AE73" s="7"/>
      <c r="AF73" s="7"/>
      <c r="AG73" s="7"/>
      <c r="AH73" s="7"/>
      <c r="AI73" s="7"/>
      <c r="AJ73" s="7"/>
      <c r="AK73" s="7"/>
      <c r="AL73" s="7"/>
      <c r="AM73" s="7"/>
      <c r="AN73" s="7"/>
      <c r="AO73" s="7"/>
      <c r="AP73" s="7"/>
      <c r="AQ73" s="7"/>
      <c r="AR73" s="7"/>
      <c r="AS73" s="7"/>
      <c r="AT73" s="7"/>
    </row>
    <row r="74" spans="3:46" customFormat="1" x14ac:dyDescent="0.25">
      <c r="C74" s="10" t="s">
        <v>61</v>
      </c>
      <c r="D74" s="1"/>
      <c r="E74" s="1"/>
      <c r="F74" s="1"/>
      <c r="G74" s="1"/>
      <c r="H74" s="1"/>
      <c r="I74" s="1"/>
      <c r="J74" s="70">
        <f ca="1">OFFSET($C$59,MATCH(W74,W60:W72,0),0)</f>
        <v>43983</v>
      </c>
      <c r="K74" s="1"/>
      <c r="L74" s="1"/>
      <c r="M74" s="1"/>
      <c r="N74" s="1"/>
      <c r="O74" s="1"/>
      <c r="P74" s="1"/>
      <c r="Q74" s="1"/>
      <c r="R74" s="1"/>
      <c r="S74" s="1"/>
      <c r="T74" s="1"/>
      <c r="U74" s="1"/>
      <c r="V74" s="1"/>
      <c r="W74" s="254">
        <f>MAX(W60:W72)</f>
        <v>1198655</v>
      </c>
      <c r="X74" s="7"/>
      <c r="Y74" s="7"/>
      <c r="Z74" s="7"/>
      <c r="AA74" s="7"/>
      <c r="AB74" s="7"/>
      <c r="AC74" s="7"/>
      <c r="AD74" s="7"/>
      <c r="AE74" s="7"/>
      <c r="AF74" s="7"/>
      <c r="AG74" s="7"/>
      <c r="AH74" s="7"/>
      <c r="AI74" s="7"/>
      <c r="AJ74" s="7"/>
      <c r="AK74" s="7"/>
      <c r="AL74" s="7"/>
      <c r="AM74" s="7"/>
      <c r="AN74" s="7"/>
      <c r="AO74" s="7"/>
      <c r="AP74" s="7"/>
      <c r="AQ74" s="7"/>
      <c r="AR74" s="7"/>
      <c r="AS74" s="7"/>
      <c r="AT74" s="7"/>
    </row>
    <row r="75" spans="3:46" customFormat="1" ht="15.75" thickBot="1" x14ac:dyDescent="0.3">
      <c r="C75" s="11"/>
      <c r="D75" s="2"/>
      <c r="E75" s="2"/>
      <c r="F75" s="2"/>
      <c r="G75" s="2"/>
      <c r="H75" s="2"/>
      <c r="I75" s="2"/>
      <c r="J75" s="2"/>
      <c r="K75" s="2"/>
      <c r="L75" s="2"/>
      <c r="M75" s="2"/>
      <c r="N75" s="2"/>
      <c r="O75" s="2"/>
      <c r="P75" s="2"/>
      <c r="Q75" s="2"/>
      <c r="R75" s="2"/>
      <c r="S75" s="2"/>
      <c r="T75" s="2"/>
      <c r="U75" s="2"/>
      <c r="V75" s="2"/>
      <c r="W75" s="256"/>
      <c r="X75" s="7"/>
      <c r="Y75" s="7"/>
      <c r="Z75" s="7"/>
      <c r="AA75" s="7"/>
      <c r="AB75" s="7"/>
      <c r="AC75" s="7"/>
      <c r="AD75" s="7"/>
      <c r="AE75" s="7"/>
      <c r="AF75" s="7"/>
      <c r="AG75" s="7"/>
      <c r="AH75" s="7"/>
      <c r="AI75" s="7"/>
      <c r="AJ75" s="7"/>
      <c r="AK75" s="7"/>
      <c r="AL75" s="7"/>
      <c r="AM75" s="7"/>
      <c r="AN75" s="7"/>
      <c r="AO75" s="7"/>
      <c r="AP75" s="7"/>
      <c r="AQ75" s="7"/>
      <c r="AR75" s="7"/>
      <c r="AS75" s="7"/>
      <c r="AT75" s="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XFD48"/>
  <sheetViews>
    <sheetView showGridLines="0" rightToLeft="1" workbookViewId="0">
      <selection activeCell="R25" sqref="R25"/>
    </sheetView>
  </sheetViews>
  <sheetFormatPr defaultRowHeight="15" x14ac:dyDescent="0.25"/>
  <cols>
    <col min="1" max="2" width="3.85546875" customWidth="1"/>
    <col min="3" max="3" width="20" bestFit="1" customWidth="1"/>
    <col min="8" max="8" width="12.7109375" bestFit="1" customWidth="1"/>
    <col min="12" max="12" width="14.140625" bestFit="1" customWidth="1"/>
    <col min="15" max="15" width="12.7109375" bestFit="1" customWidth="1"/>
    <col min="18" max="18" width="11.5703125" bestFit="1" customWidth="1"/>
  </cols>
  <sheetData>
    <row r="2" spans="3:22" ht="15.75" thickBot="1" x14ac:dyDescent="0.3">
      <c r="C2" s="3" t="s">
        <v>25</v>
      </c>
      <c r="U2" s="7"/>
    </row>
    <row r="3" spans="3:22" s="7" customFormat="1" ht="15.75" x14ac:dyDescent="0.25">
      <c r="C3" s="22" t="s">
        <v>26</v>
      </c>
      <c r="D3" s="34"/>
      <c r="E3" s="34"/>
      <c r="F3" s="34"/>
      <c r="G3" s="34"/>
      <c r="H3" s="34">
        <f>הנחות!F6</f>
        <v>43983</v>
      </c>
      <c r="I3" s="34">
        <f>EDATE(H3,1)</f>
        <v>44013</v>
      </c>
      <c r="J3" s="34">
        <f t="shared" ref="J3:T3" si="0">EDATE(I3,1)</f>
        <v>44044</v>
      </c>
      <c r="K3" s="34">
        <f t="shared" si="0"/>
        <v>44075</v>
      </c>
      <c r="L3" s="34">
        <f t="shared" si="0"/>
        <v>44105</v>
      </c>
      <c r="M3" s="34">
        <f t="shared" si="0"/>
        <v>44136</v>
      </c>
      <c r="N3" s="34">
        <f t="shared" si="0"/>
        <v>44166</v>
      </c>
      <c r="O3" s="34">
        <f t="shared" si="0"/>
        <v>44197</v>
      </c>
      <c r="P3" s="34">
        <f t="shared" si="0"/>
        <v>44228</v>
      </c>
      <c r="Q3" s="34">
        <f t="shared" si="0"/>
        <v>44256</v>
      </c>
      <c r="R3" s="34">
        <f t="shared" si="0"/>
        <v>44287</v>
      </c>
      <c r="S3" s="34">
        <f t="shared" si="0"/>
        <v>44317</v>
      </c>
      <c r="T3" s="8">
        <f t="shared" si="0"/>
        <v>44348</v>
      </c>
    </row>
    <row r="4" spans="3:22" s="7" customFormat="1" ht="15.75" x14ac:dyDescent="0.25">
      <c r="C4" s="24" t="s">
        <v>62</v>
      </c>
      <c r="D4" s="40"/>
      <c r="E4" s="71">
        <f>Dashboard!D4</f>
        <v>43983</v>
      </c>
      <c r="G4" s="40"/>
      <c r="H4" s="19">
        <f t="shared" ref="H4:T4" si="1">IF(H3&gt;=$E$4,1,0)</f>
        <v>1</v>
      </c>
      <c r="I4" s="19">
        <f t="shared" si="1"/>
        <v>1</v>
      </c>
      <c r="J4" s="19">
        <f t="shared" si="1"/>
        <v>1</v>
      </c>
      <c r="K4" s="19">
        <f t="shared" si="1"/>
        <v>1</v>
      </c>
      <c r="L4" s="19">
        <f t="shared" si="1"/>
        <v>1</v>
      </c>
      <c r="M4" s="19">
        <f t="shared" si="1"/>
        <v>1</v>
      </c>
      <c r="N4" s="19">
        <f t="shared" si="1"/>
        <v>1</v>
      </c>
      <c r="O4" s="19">
        <f t="shared" si="1"/>
        <v>1</v>
      </c>
      <c r="P4" s="19">
        <f t="shared" si="1"/>
        <v>1</v>
      </c>
      <c r="Q4" s="19">
        <f t="shared" si="1"/>
        <v>1</v>
      </c>
      <c r="R4" s="19">
        <f t="shared" si="1"/>
        <v>1</v>
      </c>
      <c r="S4" s="19">
        <f t="shared" si="1"/>
        <v>1</v>
      </c>
      <c r="T4" s="37">
        <f t="shared" si="1"/>
        <v>1</v>
      </c>
    </row>
    <row r="5" spans="3:22" x14ac:dyDescent="0.25">
      <c r="C5" s="10" t="s">
        <v>2</v>
      </c>
      <c r="D5" s="1"/>
      <c r="E5" s="1"/>
      <c r="F5" s="1"/>
      <c r="G5" s="1"/>
      <c r="H5" s="19">
        <f>IF(הכנסות!J64&lt;&gt;"",הכנסות!J64/1000,"")</f>
        <v>1750</v>
      </c>
      <c r="I5" s="19">
        <f>IF(הכנסות!K64&lt;&gt;"",הכנסות!K64/1000,"")</f>
        <v>1750</v>
      </c>
      <c r="J5" s="19">
        <f>IF(הכנסות!L64&lt;&gt;"",הכנסות!L64/1000,"")</f>
        <v>1750</v>
      </c>
      <c r="K5" s="19">
        <f>IF(הכנסות!M64&lt;&gt;"",הכנסות!M64/1000,"")</f>
        <v>1750</v>
      </c>
      <c r="L5" s="19">
        <f>IF(הכנסות!N64&lt;&gt;"",הכנסות!N64/1000,"")</f>
        <v>1750</v>
      </c>
      <c r="M5" s="19">
        <f>IF(הכנסות!O64&lt;&gt;"",הכנסות!O64/1000,"")</f>
        <v>1750</v>
      </c>
      <c r="N5" s="19">
        <f>IF(הכנסות!P64&lt;&gt;"",הכנסות!P64/1000,"")</f>
        <v>2100</v>
      </c>
      <c r="O5" s="19">
        <f>IF(הכנסות!Q64&lt;&gt;"",הכנסות!Q64/1000,"")</f>
        <v>2450</v>
      </c>
      <c r="P5" s="19">
        <f>IF(הכנסות!R64&lt;&gt;"",הכנסות!R64/1000,"")</f>
        <v>1400</v>
      </c>
      <c r="Q5" s="19">
        <f>IF(הכנסות!S64&lt;&gt;"",הכנסות!S64/1000,"")</f>
        <v>2450</v>
      </c>
      <c r="R5" s="19">
        <f>IF(הכנסות!T64&lt;&gt;"",הכנסות!T64/1000,"")</f>
        <v>2800</v>
      </c>
      <c r="S5" s="19">
        <f>IF(הכנסות!U64&lt;&gt;"",הכנסות!U64/1000,"")</f>
        <v>3150</v>
      </c>
      <c r="T5" s="37">
        <f>IF(הכנסות!V64&lt;&gt;"",הכנסות!V64/1000,"")</f>
        <v>3500</v>
      </c>
      <c r="U5" s="7"/>
      <c r="V5" s="7"/>
    </row>
    <row r="6" spans="3:22" x14ac:dyDescent="0.25">
      <c r="C6" s="10" t="s">
        <v>24</v>
      </c>
      <c r="D6" s="1"/>
      <c r="E6" s="1"/>
      <c r="F6" s="1"/>
      <c r="G6" s="1"/>
      <c r="H6" s="267">
        <f>IF(H4=1,הוצאות!J6,"")</f>
        <v>0.5</v>
      </c>
      <c r="I6" s="267">
        <f>IF(I4=1,הוצאות!K6,"")</f>
        <v>0.5</v>
      </c>
      <c r="J6" s="267">
        <f>IF(J4=1,הוצאות!L6,"")</f>
        <v>0.5</v>
      </c>
      <c r="K6" s="267">
        <f>IF(K4=1,הוצאות!M6,"")</f>
        <v>0.5</v>
      </c>
      <c r="L6" s="267">
        <f>IF(L4=1,הוצאות!N6,"")</f>
        <v>0.5</v>
      </c>
      <c r="M6" s="267">
        <f>IF(M4=1,הוצאות!O6,"")</f>
        <v>0.5</v>
      </c>
      <c r="N6" s="267">
        <f>IF(N4=1,הוצאות!P6,"")</f>
        <v>0.6</v>
      </c>
      <c r="O6" s="267">
        <f>IF(O4=1,הוצאות!Q6,"")</f>
        <v>0.7</v>
      </c>
      <c r="P6" s="267">
        <f>IF(P4=1,הוצאות!R6,"")</f>
        <v>0.4</v>
      </c>
      <c r="Q6" s="267">
        <f>IF(Q4=1,הוצאות!S6,"")</f>
        <v>0.7</v>
      </c>
      <c r="R6" s="267">
        <f>IF(R4=1,הוצאות!T6,"")</f>
        <v>0.8</v>
      </c>
      <c r="S6" s="267">
        <f>IF(S4=1,הוצאות!U6,"")</f>
        <v>0.9</v>
      </c>
      <c r="T6" s="268">
        <f>IF(T4=1,הוצאות!V6,"")</f>
        <v>1</v>
      </c>
      <c r="U6" s="7"/>
      <c r="V6" s="7"/>
    </row>
    <row r="7" spans="3:22" ht="15.75" thickBot="1" x14ac:dyDescent="0.3">
      <c r="C7" s="11"/>
      <c r="D7" s="2"/>
      <c r="E7" s="2"/>
      <c r="F7" s="2"/>
      <c r="G7" s="2"/>
      <c r="H7" s="2"/>
      <c r="I7" s="2"/>
      <c r="J7" s="2"/>
      <c r="K7" s="2"/>
      <c r="L7" s="2"/>
      <c r="M7" s="2"/>
      <c r="N7" s="2"/>
      <c r="O7" s="2"/>
      <c r="P7" s="2"/>
      <c r="Q7" s="2"/>
      <c r="R7" s="2"/>
      <c r="S7" s="2"/>
      <c r="T7" s="26"/>
      <c r="U7" s="7"/>
    </row>
    <row r="8" spans="3:22" s="7" customFormat="1" ht="15.75" thickBot="1" x14ac:dyDescent="0.3">
      <c r="C8" s="3" t="s">
        <v>35</v>
      </c>
    </row>
    <row r="9" spans="3:22" s="7" customFormat="1" ht="15.75" x14ac:dyDescent="0.25">
      <c r="C9" s="22" t="s">
        <v>18</v>
      </c>
      <c r="D9" s="34"/>
      <c r="E9" s="34"/>
      <c r="F9" s="34"/>
      <c r="G9" s="34"/>
      <c r="H9" s="34">
        <f>הנחות!F6</f>
        <v>43983</v>
      </c>
      <c r="I9" s="34">
        <f>EDATE(H9,1)</f>
        <v>44013</v>
      </c>
      <c r="J9" s="34">
        <f t="shared" ref="J9:T9" si="2">EDATE(I9,1)</f>
        <v>44044</v>
      </c>
      <c r="K9" s="34">
        <f t="shared" si="2"/>
        <v>44075</v>
      </c>
      <c r="L9" s="34">
        <f t="shared" si="2"/>
        <v>44105</v>
      </c>
      <c r="M9" s="34">
        <f t="shared" si="2"/>
        <v>44136</v>
      </c>
      <c r="N9" s="34">
        <f t="shared" si="2"/>
        <v>44166</v>
      </c>
      <c r="O9" s="34">
        <f t="shared" si="2"/>
        <v>44197</v>
      </c>
      <c r="P9" s="34">
        <f t="shared" si="2"/>
        <v>44228</v>
      </c>
      <c r="Q9" s="34">
        <f t="shared" si="2"/>
        <v>44256</v>
      </c>
      <c r="R9" s="34">
        <f t="shared" si="2"/>
        <v>44287</v>
      </c>
      <c r="S9" s="34">
        <f t="shared" si="2"/>
        <v>44317</v>
      </c>
      <c r="T9" s="8">
        <f t="shared" si="2"/>
        <v>44348</v>
      </c>
    </row>
    <row r="10" spans="3:22" s="7" customFormat="1" x14ac:dyDescent="0.25">
      <c r="C10" s="10"/>
      <c r="D10" s="1"/>
      <c r="E10" s="1"/>
      <c r="F10" s="1"/>
      <c r="G10" s="1"/>
      <c r="H10" s="1"/>
      <c r="I10" s="1"/>
      <c r="J10" s="1"/>
      <c r="K10" s="1"/>
      <c r="L10" s="1"/>
      <c r="M10" s="1"/>
      <c r="N10" s="1"/>
      <c r="O10" s="1"/>
      <c r="P10" s="1"/>
      <c r="Q10" s="1"/>
      <c r="R10" s="1"/>
      <c r="S10" s="1"/>
      <c r="T10" s="25"/>
    </row>
    <row r="11" spans="3:22" s="7" customFormat="1" x14ac:dyDescent="0.25">
      <c r="C11" s="10" t="s">
        <v>18</v>
      </c>
      <c r="D11" s="1"/>
      <c r="E11" s="1"/>
      <c r="F11" s="1"/>
      <c r="G11" s="1"/>
      <c r="H11" s="19">
        <f>תזרים!J39/1000</f>
        <v>-1242.0250000000001</v>
      </c>
      <c r="I11" s="19">
        <f>תזרים!K39/1000</f>
        <v>-17.024999999999999</v>
      </c>
      <c r="J11" s="19">
        <f>תזרים!L39/1000</f>
        <v>-168.25</v>
      </c>
      <c r="K11" s="19">
        <f>תזרים!M39/1000</f>
        <v>-168.25</v>
      </c>
      <c r="L11" s="19">
        <f>תזרים!N39/1000</f>
        <v>-168.25</v>
      </c>
      <c r="M11" s="19">
        <f>תזרים!O39/1000</f>
        <v>-168.25</v>
      </c>
      <c r="N11" s="19">
        <f>תזרים!P39/1000</f>
        <v>-197.05500000000001</v>
      </c>
      <c r="O11" s="19">
        <f>תזרים!Q39/1000</f>
        <v>19.14</v>
      </c>
      <c r="P11" s="19">
        <f>תזרים!R39/1000</f>
        <v>280.31</v>
      </c>
      <c r="Q11" s="19">
        <f>תזרים!S39/1000</f>
        <v>-611.35</v>
      </c>
      <c r="R11" s="19">
        <f>תזרים!T39/1000</f>
        <v>305.58</v>
      </c>
      <c r="S11" s="19">
        <f>תזרים!U39/1000</f>
        <v>311.04000000000002</v>
      </c>
      <c r="T11" s="37">
        <f>תזרים!V39/1000</f>
        <v>456.99</v>
      </c>
    </row>
    <row r="12" spans="3:22" s="7" customFormat="1" x14ac:dyDescent="0.25">
      <c r="C12" s="10"/>
      <c r="D12" s="1"/>
      <c r="E12" s="1"/>
      <c r="F12" s="1"/>
      <c r="G12" s="1"/>
      <c r="H12" s="35"/>
      <c r="I12" s="35"/>
      <c r="J12" s="35"/>
      <c r="K12" s="36"/>
      <c r="L12" s="36"/>
      <c r="M12" s="36"/>
      <c r="N12" s="36"/>
      <c r="O12" s="36"/>
      <c r="P12" s="36"/>
      <c r="Q12" s="36"/>
      <c r="R12" s="36"/>
      <c r="S12" s="36"/>
      <c r="T12" s="30"/>
    </row>
    <row r="13" spans="3:22" ht="15.75" thickBot="1" x14ac:dyDescent="0.3">
      <c r="C13" s="11"/>
      <c r="D13" s="2"/>
      <c r="E13" s="2"/>
      <c r="F13" s="2"/>
      <c r="G13" s="2"/>
      <c r="H13" s="2"/>
      <c r="I13" s="2"/>
      <c r="J13" s="2"/>
      <c r="K13" s="2"/>
      <c r="L13" s="2"/>
      <c r="M13" s="2"/>
      <c r="N13" s="2"/>
      <c r="O13" s="2"/>
      <c r="P13" s="2"/>
      <c r="Q13" s="2"/>
      <c r="R13" s="2"/>
      <c r="S13" s="2"/>
      <c r="T13" s="26"/>
      <c r="U13" s="7"/>
    </row>
    <row r="14" spans="3:22" s="7" customFormat="1" ht="15.75" thickBot="1" x14ac:dyDescent="0.3">
      <c r="C14" s="3" t="s">
        <v>36</v>
      </c>
    </row>
    <row r="15" spans="3:22" s="7" customFormat="1" ht="15.75" x14ac:dyDescent="0.25">
      <c r="C15" s="22" t="s">
        <v>19</v>
      </c>
      <c r="D15" s="34"/>
      <c r="E15" s="34"/>
      <c r="F15" s="34"/>
      <c r="G15" s="34"/>
      <c r="H15" s="34">
        <f>הנחות!F6</f>
        <v>43983</v>
      </c>
      <c r="I15" s="34">
        <f>EDATE(H15,1)</f>
        <v>44013</v>
      </c>
      <c r="J15" s="34">
        <f t="shared" ref="J15:T15" si="3">EDATE(I15,1)</f>
        <v>44044</v>
      </c>
      <c r="K15" s="34">
        <f t="shared" si="3"/>
        <v>44075</v>
      </c>
      <c r="L15" s="34">
        <f t="shared" si="3"/>
        <v>44105</v>
      </c>
      <c r="M15" s="34">
        <f t="shared" si="3"/>
        <v>44136</v>
      </c>
      <c r="N15" s="34">
        <f t="shared" si="3"/>
        <v>44166</v>
      </c>
      <c r="O15" s="34">
        <f t="shared" si="3"/>
        <v>44197</v>
      </c>
      <c r="P15" s="34">
        <f t="shared" si="3"/>
        <v>44228</v>
      </c>
      <c r="Q15" s="34">
        <f t="shared" si="3"/>
        <v>44256</v>
      </c>
      <c r="R15" s="34">
        <f t="shared" si="3"/>
        <v>44287</v>
      </c>
      <c r="S15" s="34">
        <f t="shared" si="3"/>
        <v>44317</v>
      </c>
      <c r="T15" s="8">
        <f t="shared" si="3"/>
        <v>44348</v>
      </c>
    </row>
    <row r="16" spans="3:22" s="7" customFormat="1" x14ac:dyDescent="0.25">
      <c r="C16" s="10"/>
      <c r="D16" s="1"/>
      <c r="E16" s="1"/>
      <c r="F16" s="1"/>
      <c r="G16" s="1"/>
      <c r="H16" s="1"/>
      <c r="I16" s="1"/>
      <c r="J16" s="1"/>
      <c r="K16" s="1"/>
      <c r="L16" s="1"/>
      <c r="M16" s="1"/>
      <c r="N16" s="1"/>
      <c r="O16" s="1"/>
      <c r="P16" s="1"/>
      <c r="Q16" s="1"/>
      <c r="R16" s="1"/>
      <c r="S16" s="1"/>
      <c r="T16" s="25"/>
    </row>
    <row r="17" spans="3:21" s="7" customFormat="1" x14ac:dyDescent="0.25">
      <c r="C17" s="10" t="s">
        <v>28</v>
      </c>
      <c r="D17" s="1"/>
      <c r="E17" s="1"/>
      <c r="F17" s="1"/>
      <c r="G17" s="1"/>
      <c r="H17" s="19">
        <f>'הלוואה והוצאות מימון'!J43/1000</f>
        <v>-242.02500000000001</v>
      </c>
      <c r="I17" s="19">
        <f>'הלוואה והוצאות מימון'!K43/1000</f>
        <v>-259.05</v>
      </c>
      <c r="J17" s="19">
        <f>'הלוואה והוצאות מימון'!L43/1000</f>
        <v>-427.3</v>
      </c>
      <c r="K17" s="19">
        <f>'הלוואה והוצאות מימון'!M43/1000</f>
        <v>-595.54999999999995</v>
      </c>
      <c r="L17" s="19">
        <f>'הלוואה והוצאות מימון'!N43/1000</f>
        <v>-763.8</v>
      </c>
      <c r="M17" s="19">
        <f>'הלוואה והוצאות מימון'!O43/1000</f>
        <v>-932.05</v>
      </c>
      <c r="N17" s="19">
        <f>'הלוואה והוצאות מימון'!P43/1000</f>
        <v>-1129.105</v>
      </c>
      <c r="O17" s="19">
        <f>'הלוואה והוצאות מימון'!Q43/1000</f>
        <v>-1109.9649999999999</v>
      </c>
      <c r="P17" s="19">
        <f>'הלוואה והוצאות מימון'!R43/1000</f>
        <v>-829.65499999999997</v>
      </c>
      <c r="Q17" s="19">
        <f>'הלוואה והוצאות מימון'!S43/1000</f>
        <v>-1441.0050000000001</v>
      </c>
      <c r="R17" s="19">
        <f>'הלוואה והוצאות מימון'!T43/1000</f>
        <v>-1135.425</v>
      </c>
      <c r="S17" s="19">
        <f>'הלוואה והוצאות מימון'!U43/1000</f>
        <v>-824.38499999999999</v>
      </c>
      <c r="T17" s="37">
        <f>'הלוואה והוצאות מימון'!V43/1000</f>
        <v>-367.39499999999998</v>
      </c>
    </row>
    <row r="18" spans="3:21" s="7" customFormat="1" x14ac:dyDescent="0.25">
      <c r="C18" s="10"/>
      <c r="D18" s="1"/>
      <c r="E18" s="1"/>
      <c r="F18" s="1"/>
      <c r="G18" s="1"/>
      <c r="H18" s="35"/>
      <c r="I18" s="35"/>
      <c r="J18" s="35"/>
      <c r="K18" s="36"/>
      <c r="L18" s="36"/>
      <c r="M18" s="36"/>
      <c r="N18" s="36"/>
      <c r="O18" s="36"/>
      <c r="P18" s="36"/>
      <c r="Q18" s="36"/>
      <c r="R18" s="36"/>
      <c r="S18" s="36"/>
      <c r="T18" s="30"/>
    </row>
    <row r="19" spans="3:21" ht="15.75" thickBot="1" x14ac:dyDescent="0.3">
      <c r="C19" s="11"/>
      <c r="D19" s="2"/>
      <c r="E19" s="2"/>
      <c r="F19" s="2"/>
      <c r="G19" s="2"/>
      <c r="H19" s="2"/>
      <c r="I19" s="2"/>
      <c r="J19" s="2"/>
      <c r="K19" s="2"/>
      <c r="L19" s="2"/>
      <c r="M19" s="2"/>
      <c r="N19" s="2"/>
      <c r="O19" s="2"/>
      <c r="P19" s="2"/>
      <c r="Q19" s="2"/>
      <c r="R19" s="2"/>
      <c r="S19" s="2"/>
      <c r="T19" s="26"/>
      <c r="U19" s="7"/>
    </row>
    <row r="20" spans="3:21" s="7" customFormat="1" ht="15.75" thickBot="1" x14ac:dyDescent="0.3">
      <c r="C20" s="3" t="s">
        <v>37</v>
      </c>
    </row>
    <row r="21" spans="3:21" s="7" customFormat="1" ht="15.75" x14ac:dyDescent="0.25">
      <c r="C21" s="22" t="s">
        <v>27</v>
      </c>
      <c r="D21" s="34"/>
      <c r="E21" s="34"/>
      <c r="F21" s="34"/>
      <c r="G21" s="34"/>
      <c r="H21" s="39" t="s">
        <v>30</v>
      </c>
      <c r="I21" s="39" t="s">
        <v>31</v>
      </c>
      <c r="J21" s="34"/>
      <c r="K21" s="34"/>
      <c r="L21" s="34"/>
      <c r="M21" s="103" t="s">
        <v>30</v>
      </c>
      <c r="N21" s="39" t="s">
        <v>31</v>
      </c>
      <c r="O21" s="34"/>
      <c r="P21" s="34"/>
      <c r="Q21" s="34"/>
      <c r="R21" s="39"/>
      <c r="S21" s="34"/>
      <c r="T21" s="8"/>
    </row>
    <row r="22" spans="3:21" s="7" customFormat="1" x14ac:dyDescent="0.25">
      <c r="C22" s="10"/>
      <c r="D22" s="1"/>
      <c r="E22" s="1"/>
      <c r="F22" s="1"/>
      <c r="G22" s="1"/>
      <c r="J22" s="1"/>
      <c r="K22" s="1"/>
      <c r="L22" s="1"/>
      <c r="M22" s="1"/>
      <c r="N22" s="1"/>
      <c r="O22" s="1"/>
      <c r="P22" s="1"/>
      <c r="Q22" s="1"/>
      <c r="R22" s="1"/>
      <c r="S22" s="1"/>
      <c r="T22" s="25"/>
    </row>
    <row r="23" spans="3:21" s="7" customFormat="1" ht="15.75" x14ac:dyDescent="0.25">
      <c r="C23" s="9">
        <f>IF(D23="","",MAX($C$22:C22)+1)</f>
        <v>1</v>
      </c>
      <c r="D23" s="1" t="str">
        <f>IF(הנחות!M6&lt;&gt;"",הנחות!M6,"")</f>
        <v>שכירות</v>
      </c>
      <c r="E23" s="1"/>
      <c r="F23" s="1"/>
      <c r="G23" s="1"/>
      <c r="H23" s="75">
        <f>הוצאות!W9</f>
        <v>3185000.0000000005</v>
      </c>
      <c r="I23" s="38">
        <f>IF(H23&lt;&gt;0,H23/$H$43,"")</f>
        <v>0.10305425636728086</v>
      </c>
      <c r="J23" s="1" t="str">
        <f>IFERROR(INDEX($D$23:$D$42,MATCH(ROW()-ROW($L$22),$C$23:$C$42,0)),"")</f>
        <v>שכירות</v>
      </c>
      <c r="K23" s="1"/>
      <c r="L23" s="1"/>
      <c r="M23" s="75">
        <f>IFERROR(INDEX($H$23:$H$42,MATCH(ROW()-ROW($L$22),$C$23:$C$42,0)),"")</f>
        <v>3185000.0000000005</v>
      </c>
      <c r="N23" s="38">
        <f t="shared" ref="N23:N42" si="4">IF(M23&lt;&gt;"",M23/$M$43,"")</f>
        <v>0.10305425636728086</v>
      </c>
      <c r="P23" s="7" t="s">
        <v>40</v>
      </c>
      <c r="Q23" s="1"/>
      <c r="R23" s="75">
        <f>הוצאות!W32/1000</f>
        <v>14378</v>
      </c>
      <c r="S23" s="38">
        <f>R23/$R$25</f>
        <v>0.46521635731515354</v>
      </c>
      <c r="T23" s="25"/>
    </row>
    <row r="24" spans="3:21" s="7" customFormat="1" ht="15.75" x14ac:dyDescent="0.25">
      <c r="C24" s="9">
        <f>IF(D24="","",MAX($C$22:C23)+1)</f>
        <v>2</v>
      </c>
      <c r="D24" s="1" t="str">
        <f>IF(הנחות!M7&lt;&gt;"",הנחות!M7,"")</f>
        <v>ארנונה</v>
      </c>
      <c r="E24" s="1"/>
      <c r="F24" s="1"/>
      <c r="G24" s="1"/>
      <c r="H24" s="75">
        <f>הוצאות!W10</f>
        <v>1365000</v>
      </c>
      <c r="I24" s="38">
        <f t="shared" ref="I24:I42" si="5">IF(H24&lt;&gt;0,H24/$H$43,"")</f>
        <v>4.416610987169179E-2</v>
      </c>
      <c r="J24" s="1" t="str">
        <f t="shared" ref="J24:J42" si="6">IFERROR(INDEX($D$23:$D$42,MATCH(ROW()-ROW($L$22),$C$23:$C$42,0)),"")</f>
        <v>ארנונה</v>
      </c>
      <c r="K24" s="1"/>
      <c r="L24" s="1"/>
      <c r="M24" s="75">
        <f t="shared" ref="M24:M42" si="7">IFERROR(INDEX($H$23:$H$42,MATCH(ROW()-ROW($L$22),$C$23:$C$42,0)),"")</f>
        <v>1365000</v>
      </c>
      <c r="N24" s="38">
        <f t="shared" si="4"/>
        <v>4.416610987169179E-2</v>
      </c>
      <c r="P24" s="7" t="s">
        <v>114</v>
      </c>
      <c r="Q24" s="1"/>
      <c r="R24" s="75">
        <f>הוצאות!W58/1000</f>
        <v>16528.05</v>
      </c>
      <c r="S24" s="38">
        <f>R24/$R$25</f>
        <v>0.53478364268484646</v>
      </c>
      <c r="T24" s="25"/>
    </row>
    <row r="25" spans="3:21" s="7" customFormat="1" ht="15.75" x14ac:dyDescent="0.25">
      <c r="C25" s="9">
        <f>IF(D25="","",MAX($C$22:C24)+1)</f>
        <v>3</v>
      </c>
      <c r="D25" s="1" t="str">
        <f>IF(הנחות!M8&lt;&gt;"",הנחות!M8,"")</f>
        <v>שכר בלתי נמנע</v>
      </c>
      <c r="E25" s="1"/>
      <c r="F25" s="1"/>
      <c r="G25" s="1"/>
      <c r="H25" s="75">
        <f>הוצאות!W11</f>
        <v>1820000</v>
      </c>
      <c r="I25" s="38">
        <f t="shared" si="5"/>
        <v>5.8888146495589051E-2</v>
      </c>
      <c r="J25" s="1" t="str">
        <f t="shared" si="6"/>
        <v>שכר בלתי נמנע</v>
      </c>
      <c r="K25" s="1"/>
      <c r="L25" s="1"/>
      <c r="M25" s="75">
        <f t="shared" si="7"/>
        <v>1820000</v>
      </c>
      <c r="N25" s="38">
        <f t="shared" si="4"/>
        <v>5.8888146495589051E-2</v>
      </c>
      <c r="Q25" s="1"/>
      <c r="R25" s="154">
        <f>SUM(R23:R24)</f>
        <v>30906.05</v>
      </c>
      <c r="S25" s="1"/>
      <c r="T25" s="25"/>
    </row>
    <row r="26" spans="3:21" s="7" customFormat="1" ht="15.75" x14ac:dyDescent="0.25">
      <c r="C26" s="9">
        <f>IF(D26="","",MAX($C$22:C25)+1)</f>
        <v>4</v>
      </c>
      <c r="D26" s="1" t="str">
        <f>IF(הנחות!M9&lt;&gt;"",הנחות!M9,"")</f>
        <v>תחזוקת מערכות</v>
      </c>
      <c r="E26" s="1"/>
      <c r="F26" s="1"/>
      <c r="G26" s="1"/>
      <c r="H26" s="75">
        <f>הוצאות!W12</f>
        <v>1228500</v>
      </c>
      <c r="I26" s="38">
        <f t="shared" si="5"/>
        <v>3.9749498884522609E-2</v>
      </c>
      <c r="J26" s="1" t="str">
        <f t="shared" si="6"/>
        <v>תחזוקת מערכות</v>
      </c>
      <c r="K26" s="1"/>
      <c r="L26" s="1"/>
      <c r="M26" s="75">
        <f t="shared" si="7"/>
        <v>1228500</v>
      </c>
      <c r="N26" s="38">
        <f t="shared" si="4"/>
        <v>3.9749498884522609E-2</v>
      </c>
      <c r="Q26" s="1"/>
      <c r="R26" s="1"/>
      <c r="S26" s="1"/>
      <c r="T26" s="25"/>
    </row>
    <row r="27" spans="3:21" s="7" customFormat="1" ht="15.75" x14ac:dyDescent="0.25">
      <c r="C27" s="9">
        <f>IF(D27="","",MAX($C$22:C26)+1)</f>
        <v>5</v>
      </c>
      <c r="D27" s="1" t="str">
        <f>IF(הנחות!M10&lt;&gt;"",הנחות!M10,"")</f>
        <v>אבטחה</v>
      </c>
      <c r="E27" s="1"/>
      <c r="F27" s="1"/>
      <c r="G27" s="1"/>
      <c r="H27" s="75">
        <f>הוצאות!W13</f>
        <v>2093000</v>
      </c>
      <c r="I27" s="38">
        <f t="shared" si="5"/>
        <v>6.7721368469927407E-2</v>
      </c>
      <c r="J27" s="1" t="str">
        <f t="shared" si="6"/>
        <v>אבטחה</v>
      </c>
      <c r="K27" s="1"/>
      <c r="L27" s="1"/>
      <c r="M27" s="75">
        <f t="shared" si="7"/>
        <v>2093000</v>
      </c>
      <c r="N27" s="38">
        <f t="shared" si="4"/>
        <v>6.7721368469927407E-2</v>
      </c>
      <c r="Q27" s="1"/>
      <c r="R27" s="1"/>
      <c r="S27" s="1"/>
      <c r="T27" s="25"/>
    </row>
    <row r="28" spans="3:21" s="7" customFormat="1" ht="15.75" x14ac:dyDescent="0.25">
      <c r="C28" s="9">
        <f>IF(D28="","",MAX($C$22:C27)+1)</f>
        <v>6</v>
      </c>
      <c r="D28" s="1" t="str">
        <f>IF(הנחות!M11&lt;&gt;"",הנחות!M11,"")</f>
        <v>מימון</v>
      </c>
      <c r="E28" s="1"/>
      <c r="F28" s="1"/>
      <c r="G28" s="1"/>
      <c r="H28" s="75">
        <f>הוצאות!W14</f>
        <v>1274000</v>
      </c>
      <c r="I28" s="38">
        <f t="shared" si="5"/>
        <v>4.1221702546912334E-2</v>
      </c>
      <c r="J28" s="1" t="str">
        <f t="shared" si="6"/>
        <v>מימון</v>
      </c>
      <c r="K28" s="1"/>
      <c r="L28" s="1"/>
      <c r="M28" s="75">
        <f t="shared" si="7"/>
        <v>1274000</v>
      </c>
      <c r="N28" s="38">
        <f t="shared" si="4"/>
        <v>4.1221702546912334E-2</v>
      </c>
      <c r="Q28" s="1"/>
      <c r="R28" s="1"/>
      <c r="S28" s="1"/>
      <c r="T28" s="25"/>
    </row>
    <row r="29" spans="3:21" s="7" customFormat="1" ht="15.75" x14ac:dyDescent="0.25">
      <c r="C29" s="9">
        <f>IF(D29="","",MAX($C$22:C28)+1)</f>
        <v>7</v>
      </c>
      <c r="D29" s="1" t="str">
        <f>IF(הנחות!M12&lt;&gt;"",הנחות!M12,"")</f>
        <v>פחת</v>
      </c>
      <c r="E29" s="1"/>
      <c r="F29" s="1"/>
      <c r="G29" s="1"/>
      <c r="H29" s="75">
        <f>הוצאות!W15</f>
        <v>1430000.0000000002</v>
      </c>
      <c r="I29" s="38">
        <f t="shared" si="5"/>
        <v>4.6269257960819973E-2</v>
      </c>
      <c r="J29" s="1" t="str">
        <f t="shared" si="6"/>
        <v>פחת</v>
      </c>
      <c r="K29" s="1"/>
      <c r="L29" s="1"/>
      <c r="M29" s="75">
        <f t="shared" si="7"/>
        <v>1430000.0000000002</v>
      </c>
      <c r="N29" s="38">
        <f t="shared" si="4"/>
        <v>4.6269257960819973E-2</v>
      </c>
      <c r="Q29" s="1"/>
      <c r="R29" s="1"/>
      <c r="S29" s="1"/>
      <c r="T29" s="25"/>
    </row>
    <row r="30" spans="3:21" s="7" customFormat="1" ht="15.75" x14ac:dyDescent="0.25">
      <c r="C30" s="9">
        <f>IF(D30="","",MAX($C$22:C29)+1)</f>
        <v>8</v>
      </c>
      <c r="D30" s="1" t="str">
        <f>IF(הנחות!M13&lt;&gt;"",הנחות!M13,"")</f>
        <v>פחת</v>
      </c>
      <c r="E30" s="1"/>
      <c r="F30" s="1"/>
      <c r="G30" s="1"/>
      <c r="H30" s="75">
        <f>הוצאות!W16</f>
        <v>1300000</v>
      </c>
      <c r="I30" s="38">
        <f t="shared" si="5"/>
        <v>4.2062961782563607E-2</v>
      </c>
      <c r="J30" s="1" t="str">
        <f t="shared" si="6"/>
        <v>פחת</v>
      </c>
      <c r="K30" s="1"/>
      <c r="L30" s="1"/>
      <c r="M30" s="75">
        <f t="shared" si="7"/>
        <v>1300000</v>
      </c>
      <c r="N30" s="38">
        <f t="shared" si="4"/>
        <v>4.2062961782563607E-2</v>
      </c>
      <c r="Q30" s="1"/>
      <c r="R30" s="1"/>
      <c r="S30" s="1"/>
      <c r="T30" s="25"/>
    </row>
    <row r="31" spans="3:21" s="7" customFormat="1" ht="15.75" x14ac:dyDescent="0.25">
      <c r="C31" s="9">
        <f>IF(D31="","",MAX($C$22:C30)+1)</f>
        <v>9</v>
      </c>
      <c r="D31" s="1" t="str">
        <f>IF(הנחות!M14&lt;&gt;"",הנחות!M14,"")</f>
        <v>פרסום, קשרי לקוחות ויח"צ</v>
      </c>
      <c r="E31" s="1"/>
      <c r="F31" s="1"/>
      <c r="G31" s="1"/>
      <c r="H31" s="75">
        <f>הוצאות!W17</f>
        <v>227500</v>
      </c>
      <c r="I31" s="38">
        <f t="shared" si="5"/>
        <v>7.3610183119486314E-3</v>
      </c>
      <c r="J31" s="1" t="str">
        <f t="shared" si="6"/>
        <v>פרסום, קשרי לקוחות ויח"צ</v>
      </c>
      <c r="K31" s="1"/>
      <c r="L31" s="1"/>
      <c r="M31" s="75">
        <f t="shared" si="7"/>
        <v>227500</v>
      </c>
      <c r="N31" s="38">
        <f t="shared" si="4"/>
        <v>7.3610183119486314E-3</v>
      </c>
      <c r="Q31" s="1"/>
      <c r="R31" s="1"/>
      <c r="S31" s="1"/>
      <c r="T31" s="25"/>
    </row>
    <row r="32" spans="3:21" s="7" customFormat="1" ht="15.75" x14ac:dyDescent="0.25">
      <c r="C32" s="9">
        <f>IF(D32="","",MAX($C$22:C31)+1)</f>
        <v>10</v>
      </c>
      <c r="D32" s="1" t="str">
        <f>IF(הנחות!M15&lt;&gt;"",הנחות!M15,"")</f>
        <v>חשמל ומים</v>
      </c>
      <c r="E32" s="1"/>
      <c r="F32" s="1"/>
      <c r="G32" s="1"/>
      <c r="H32" s="75">
        <f>הוצאות!W18</f>
        <v>455000</v>
      </c>
      <c r="I32" s="38">
        <f t="shared" si="5"/>
        <v>1.4722036623897263E-2</v>
      </c>
      <c r="J32" s="1" t="str">
        <f t="shared" si="6"/>
        <v>חשמל ומים</v>
      </c>
      <c r="K32" s="1"/>
      <c r="L32" s="1"/>
      <c r="M32" s="75">
        <f t="shared" si="7"/>
        <v>455000</v>
      </c>
      <c r="N32" s="38">
        <f t="shared" si="4"/>
        <v>1.4722036623897263E-2</v>
      </c>
      <c r="Q32" s="1"/>
      <c r="R32" s="1"/>
      <c r="S32" s="1"/>
      <c r="T32" s="25"/>
    </row>
    <row r="33" spans="1:16384" s="7" customFormat="1" ht="15.75" x14ac:dyDescent="0.25">
      <c r="C33" s="9">
        <f>IF(D33="","",MAX($C$22:C32)+1)</f>
        <v>11</v>
      </c>
      <c r="D33" s="1" t="str">
        <f>IF(הנחות!M19&lt;&gt;"",הנחות!M19,"")</f>
        <v>שכר (מעבר לשכר בלתי נמנע)</v>
      </c>
      <c r="E33" s="1"/>
      <c r="F33" s="1"/>
      <c r="G33" s="1"/>
      <c r="H33" s="75">
        <f>הוצאות!W34</f>
        <v>9072000</v>
      </c>
      <c r="I33" s="38">
        <f t="shared" si="5"/>
        <v>0.29353476099339776</v>
      </c>
      <c r="J33" s="1" t="str">
        <f t="shared" si="6"/>
        <v>שכר (מעבר לשכר בלתי נמנע)</v>
      </c>
      <c r="K33" s="1"/>
      <c r="L33" s="1"/>
      <c r="M33" s="75">
        <f t="shared" si="7"/>
        <v>9072000</v>
      </c>
      <c r="N33" s="38">
        <f t="shared" si="4"/>
        <v>0.29353476099339776</v>
      </c>
      <c r="Q33" s="1"/>
      <c r="R33" s="1"/>
      <c r="S33" s="1"/>
      <c r="T33" s="25"/>
    </row>
    <row r="34" spans="1:16384" s="7" customFormat="1" ht="15.75" x14ac:dyDescent="0.25">
      <c r="C34" s="9">
        <f>IF(D34="","",MAX($C$22:C33)+1)</f>
        <v>12</v>
      </c>
      <c r="D34" s="1" t="str">
        <f>IF(הנחות!M20&lt;&gt;"",הנחות!M20,"")</f>
        <v>מזון ומשקאות</v>
      </c>
      <c r="E34" s="1"/>
      <c r="F34" s="1"/>
      <c r="G34" s="1"/>
      <c r="H34" s="75">
        <f>הוצאות!W35</f>
        <v>2778300</v>
      </c>
      <c r="I34" s="38">
        <f t="shared" si="5"/>
        <v>8.9895020554228058E-2</v>
      </c>
      <c r="J34" s="1" t="str">
        <f t="shared" si="6"/>
        <v>מזון ומשקאות</v>
      </c>
      <c r="K34" s="1"/>
      <c r="L34" s="1"/>
      <c r="M34" s="75">
        <f t="shared" si="7"/>
        <v>2778300</v>
      </c>
      <c r="N34" s="38">
        <f t="shared" si="4"/>
        <v>8.9895020554228058E-2</v>
      </c>
      <c r="Q34" s="1"/>
      <c r="R34" s="1"/>
      <c r="S34" s="1"/>
      <c r="T34" s="25"/>
    </row>
    <row r="35" spans="1:16384" s="7" customFormat="1" ht="15.75" x14ac:dyDescent="0.25">
      <c r="C35" s="9">
        <f>IF(D35="","",MAX($C$22:C34)+1)</f>
        <v>13</v>
      </c>
      <c r="D35" s="1" t="str">
        <f>IF(הנחות!M21&lt;&gt;"",הנחות!M21,"")</f>
        <v>חשמל ומים</v>
      </c>
      <c r="E35" s="1"/>
      <c r="F35" s="1"/>
      <c r="G35" s="1"/>
      <c r="H35" s="75">
        <f>הוצאות!W36</f>
        <v>1134000</v>
      </c>
      <c r="I35" s="38">
        <f t="shared" si="5"/>
        <v>3.669184512417472E-2</v>
      </c>
      <c r="J35" s="1" t="str">
        <f t="shared" si="6"/>
        <v>חשמל ומים</v>
      </c>
      <c r="K35" s="1"/>
      <c r="L35" s="1"/>
      <c r="M35" s="75">
        <f t="shared" si="7"/>
        <v>1134000</v>
      </c>
      <c r="N35" s="38">
        <f t="shared" si="4"/>
        <v>3.669184512417472E-2</v>
      </c>
      <c r="Q35" s="1"/>
      <c r="R35" s="1"/>
      <c r="S35" s="1"/>
      <c r="T35" s="25"/>
    </row>
    <row r="36" spans="1:16384" ht="15.75" x14ac:dyDescent="0.25">
      <c r="C36" s="9">
        <f>IF(D36="","",MAX($C$22:C35)+1)</f>
        <v>14</v>
      </c>
      <c r="D36" s="1" t="str">
        <f>IF(הנחות!M22&lt;&gt;"",הנחות!M22,"")</f>
        <v>תחזוקת חדרים</v>
      </c>
      <c r="E36" s="1"/>
      <c r="F36" s="1"/>
      <c r="G36" s="1"/>
      <c r="H36" s="75">
        <f>הוצאות!W37</f>
        <v>1984500</v>
      </c>
      <c r="I36" s="38">
        <f t="shared" si="5"/>
        <v>6.4210728967305758E-2</v>
      </c>
      <c r="J36" s="1" t="str">
        <f t="shared" si="6"/>
        <v>תחזוקת חדרים</v>
      </c>
      <c r="K36" s="1"/>
      <c r="L36" s="1"/>
      <c r="M36" s="75">
        <f t="shared" si="7"/>
        <v>1984500</v>
      </c>
      <c r="N36" s="38">
        <f t="shared" si="4"/>
        <v>6.4210728967305758E-2</v>
      </c>
      <c r="Q36" s="1"/>
      <c r="R36" s="1"/>
      <c r="S36" s="1"/>
      <c r="T36" s="25"/>
      <c r="U36" s="7"/>
    </row>
    <row r="37" spans="1:16384" ht="15.75" x14ac:dyDescent="0.25">
      <c r="C37" s="9">
        <f>IF(D37="","",MAX($C$22:C36)+1)</f>
        <v>15</v>
      </c>
      <c r="D37" s="1" t="str">
        <f>IF(הנחות!M23&lt;&gt;"",הנחות!M23,"")</f>
        <v>פרסום, קשרי לקוחות ויח"צ</v>
      </c>
      <c r="E37" s="1"/>
      <c r="F37" s="1"/>
      <c r="G37" s="1"/>
      <c r="H37" s="75">
        <f>הוצאות!W38</f>
        <v>425250</v>
      </c>
      <c r="I37" s="38">
        <f t="shared" si="5"/>
        <v>1.3759441921565519E-2</v>
      </c>
      <c r="J37" s="1" t="str">
        <f t="shared" si="6"/>
        <v>פרסום, קשרי לקוחות ויח"צ</v>
      </c>
      <c r="K37" s="1"/>
      <c r="L37" s="1"/>
      <c r="M37" s="75">
        <f t="shared" si="7"/>
        <v>425250</v>
      </c>
      <c r="N37" s="38">
        <f t="shared" si="4"/>
        <v>1.3759441921565519E-2</v>
      </c>
      <c r="Q37" s="1"/>
      <c r="R37" s="1"/>
      <c r="S37" s="1"/>
      <c r="T37" s="25"/>
      <c r="U37" s="7"/>
    </row>
    <row r="38" spans="1:16384" ht="15.75" x14ac:dyDescent="0.25">
      <c r="C38" s="9">
        <f>IF(D38="","",MAX($C$22:C37)+1)</f>
        <v>16</v>
      </c>
      <c r="D38" s="1" t="str">
        <f>IF(הנחות!M24&lt;&gt;"",הנחות!M24,"")</f>
        <v>הוצאות כלליות</v>
      </c>
      <c r="E38" s="1"/>
      <c r="F38" s="1"/>
      <c r="G38" s="1"/>
      <c r="H38" s="75">
        <f>הוצאות!W39</f>
        <v>1134000</v>
      </c>
      <c r="I38" s="38">
        <f t="shared" si="5"/>
        <v>3.669184512417472E-2</v>
      </c>
      <c r="J38" s="1" t="str">
        <f t="shared" si="6"/>
        <v>הוצאות כלליות</v>
      </c>
      <c r="K38" s="1"/>
      <c r="L38" s="1"/>
      <c r="M38" s="75">
        <f t="shared" si="7"/>
        <v>1134000</v>
      </c>
      <c r="N38" s="38">
        <f t="shared" si="4"/>
        <v>3.669184512417472E-2</v>
      </c>
      <c r="Q38" s="1"/>
      <c r="R38" s="1"/>
      <c r="S38" s="1"/>
      <c r="T38" s="25"/>
      <c r="U38" s="7"/>
    </row>
    <row r="39" spans="1:16384" ht="15.75" x14ac:dyDescent="0.25">
      <c r="C39" s="9" t="str">
        <f>IF(D39="","",MAX($C$22:C38)+1)</f>
        <v/>
      </c>
      <c r="D39" s="1" t="str">
        <f>IF(הנחות!M25&lt;&gt;"",הנחות!M25,"")</f>
        <v/>
      </c>
      <c r="E39" s="1"/>
      <c r="F39" s="1"/>
      <c r="G39" s="1"/>
      <c r="H39" s="75">
        <f>הוצאות!W40</f>
        <v>0</v>
      </c>
      <c r="I39" s="38" t="str">
        <f t="shared" si="5"/>
        <v/>
      </c>
      <c r="J39" s="1" t="str">
        <f t="shared" si="6"/>
        <v/>
      </c>
      <c r="K39" s="1"/>
      <c r="L39" s="1"/>
      <c r="M39" s="75" t="str">
        <f t="shared" si="7"/>
        <v/>
      </c>
      <c r="N39" s="38" t="str">
        <f t="shared" si="4"/>
        <v/>
      </c>
      <c r="Q39" s="1"/>
      <c r="R39" s="1"/>
      <c r="S39" s="1"/>
      <c r="T39" s="25"/>
      <c r="U39" s="7"/>
    </row>
    <row r="40" spans="1:16384" ht="15.75" x14ac:dyDescent="0.25">
      <c r="C40" s="9" t="str">
        <f>IF(D40="","",MAX($C$22:C39)+1)</f>
        <v/>
      </c>
      <c r="D40" s="1" t="str">
        <f>IF(הנחות!M26&lt;&gt;"",הנחות!M26,"")</f>
        <v/>
      </c>
      <c r="E40" s="1"/>
      <c r="F40" s="1"/>
      <c r="G40" s="1"/>
      <c r="H40" s="75">
        <f>הוצאות!W41</f>
        <v>0</v>
      </c>
      <c r="I40" s="38" t="str">
        <f t="shared" si="5"/>
        <v/>
      </c>
      <c r="J40" s="1" t="str">
        <f t="shared" si="6"/>
        <v/>
      </c>
      <c r="K40" s="1"/>
      <c r="L40" s="1"/>
      <c r="M40" s="75" t="str">
        <f t="shared" si="7"/>
        <v/>
      </c>
      <c r="N40" s="38" t="str">
        <f t="shared" si="4"/>
        <v/>
      </c>
      <c r="Q40" s="1"/>
      <c r="R40" s="1"/>
      <c r="S40" s="1"/>
      <c r="T40" s="25"/>
    </row>
    <row r="41" spans="1:16384" ht="15.75" x14ac:dyDescent="0.25">
      <c r="C41" s="9" t="str">
        <f>IF(D41="","",MAX($C$22:C40)+1)</f>
        <v/>
      </c>
      <c r="D41" s="1" t="str">
        <f>IF(הנחות!M27&lt;&gt;"",הנחות!M27,"")</f>
        <v/>
      </c>
      <c r="E41" s="1"/>
      <c r="F41" s="1"/>
      <c r="G41" s="1"/>
      <c r="H41" s="75">
        <f>הוצאות!W42</f>
        <v>0</v>
      </c>
      <c r="I41" s="38" t="str">
        <f t="shared" si="5"/>
        <v/>
      </c>
      <c r="J41" s="1" t="str">
        <f t="shared" si="6"/>
        <v/>
      </c>
      <c r="K41" s="1"/>
      <c r="L41" s="1"/>
      <c r="M41" s="75" t="str">
        <f t="shared" si="7"/>
        <v/>
      </c>
      <c r="N41" s="38" t="str">
        <f t="shared" si="4"/>
        <v/>
      </c>
      <c r="Q41" s="1"/>
      <c r="R41" s="1"/>
      <c r="S41" s="1"/>
      <c r="T41" s="25"/>
    </row>
    <row r="42" spans="1:16384" ht="15.75" x14ac:dyDescent="0.25">
      <c r="C42" s="9" t="str">
        <f>IF(D42="","",MAX($C$22:C41)+1)</f>
        <v/>
      </c>
      <c r="D42" s="1" t="str">
        <f>IF(הנחות!M28&lt;&gt;"",הנחות!M28,"")</f>
        <v/>
      </c>
      <c r="E42" s="1"/>
      <c r="F42" s="1"/>
      <c r="G42" s="1"/>
      <c r="H42" s="75">
        <f>הוצאות!W43</f>
        <v>0</v>
      </c>
      <c r="I42" s="38" t="str">
        <f t="shared" si="5"/>
        <v/>
      </c>
      <c r="J42" s="1" t="str">
        <f t="shared" si="6"/>
        <v/>
      </c>
      <c r="K42" s="1"/>
      <c r="L42" s="1"/>
      <c r="M42" s="75" t="str">
        <f t="shared" si="7"/>
        <v/>
      </c>
      <c r="N42" s="38" t="str">
        <f t="shared" si="4"/>
        <v/>
      </c>
      <c r="O42" s="1"/>
      <c r="P42" s="1"/>
      <c r="Q42" s="1"/>
      <c r="R42" s="1"/>
      <c r="S42" s="1"/>
      <c r="T42" s="25"/>
    </row>
    <row r="43" spans="1:16384" ht="15.75" thickBot="1" x14ac:dyDescent="0.3">
      <c r="C43" s="11"/>
      <c r="D43" s="2" t="s">
        <v>29</v>
      </c>
      <c r="E43" s="2"/>
      <c r="F43" s="2"/>
      <c r="G43" s="2"/>
      <c r="H43" s="76">
        <f>SUM(H23:H42)</f>
        <v>30906050</v>
      </c>
      <c r="I43" s="73">
        <f>SUM(I23:I42)</f>
        <v>0.99999999999999989</v>
      </c>
      <c r="J43" s="2" t="s">
        <v>29</v>
      </c>
      <c r="K43" s="2"/>
      <c r="L43" s="2"/>
      <c r="M43" s="76">
        <f>SUM(M23:M42)</f>
        <v>30906050</v>
      </c>
      <c r="N43" s="73">
        <f>SUM(N23:N42)</f>
        <v>0.99999999999999989</v>
      </c>
      <c r="O43" s="2"/>
      <c r="P43" s="2"/>
      <c r="Q43" s="2"/>
      <c r="R43" s="2"/>
      <c r="S43" s="2"/>
      <c r="T43" s="26"/>
    </row>
    <row r="44" spans="1:16384" x14ac:dyDescent="0.25">
      <c r="H44" s="7"/>
    </row>
    <row r="45" spans="1:16384" s="14" customFormat="1" x14ac:dyDescent="0.25">
      <c r="B45" s="4"/>
      <c r="C45" s="4"/>
      <c r="D45" s="4"/>
      <c r="E45" s="4"/>
      <c r="F45" s="4"/>
      <c r="G45" s="4"/>
      <c r="H45" s="4"/>
      <c r="I45" s="4"/>
      <c r="J45" s="4"/>
      <c r="K45" s="4"/>
      <c r="L45" s="4"/>
      <c r="M45" s="4"/>
      <c r="N45" s="4"/>
      <c r="O45" s="4"/>
      <c r="P45" s="4"/>
      <c r="Q45" s="4"/>
    </row>
    <row r="46" spans="1:16384" s="14" customFormat="1" ht="3"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c r="XFD46" s="5"/>
    </row>
    <row r="47" spans="1:16384" s="14" customFormat="1" x14ac:dyDescent="0.25">
      <c r="B47" s="4"/>
      <c r="C47" s="4"/>
      <c r="D47" s="4"/>
      <c r="E47" s="4"/>
      <c r="F47" s="4"/>
      <c r="G47" s="4"/>
      <c r="H47" s="4"/>
      <c r="I47" s="4"/>
      <c r="J47" s="4"/>
      <c r="K47" s="4"/>
      <c r="L47" s="4"/>
      <c r="M47" s="4"/>
      <c r="N47" s="4"/>
      <c r="O47" s="4"/>
      <c r="P47" s="4"/>
      <c r="Q47" s="4"/>
    </row>
    <row r="48" spans="1:16384" ht="18" x14ac:dyDescent="0.25">
      <c r="L48" s="105"/>
    </row>
  </sheetData>
  <dataValidations disablePrompts="1" count="2">
    <dataValidation type="list" allowBlank="1" showInputMessage="1" showErrorMessage="1" sqref="P48">
      <formula1>INDIRECT("ערכים")</formula1>
    </dataValidation>
    <dataValidation type="list" allowBlank="1" showInputMessage="1" showErrorMessage="1" sqref="L47">
      <formula1>INDIRECT("הוצאות")</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sheetPr>
  <dimension ref="A1:XFD489"/>
  <sheetViews>
    <sheetView showGridLines="0" rightToLeft="1" zoomScaleNormal="100" workbookViewId="0"/>
  </sheetViews>
  <sheetFormatPr defaultColWidth="0" defaultRowHeight="15" zeroHeight="1" x14ac:dyDescent="0.25"/>
  <cols>
    <col min="1" max="1" width="9.140625" style="14" customWidth="1"/>
    <col min="2" max="2" width="161.28515625" style="14" customWidth="1"/>
    <col min="3" max="3" width="13.7109375" style="14" bestFit="1" customWidth="1"/>
    <col min="4" max="4" width="9.140625" style="14" customWidth="1"/>
    <col min="5" max="5" width="12.5703125" style="14" bestFit="1" customWidth="1"/>
    <col min="6" max="6" width="9.140625" style="14" customWidth="1"/>
    <col min="7" max="7" width="11" style="14" bestFit="1" customWidth="1"/>
    <col min="8" max="10" width="9.140625" style="14" customWidth="1"/>
    <col min="11" max="16384" width="0" style="14" hidden="1"/>
  </cols>
  <sheetData>
    <row r="1" spans="1:10" x14ac:dyDescent="0.25"/>
    <row r="2" spans="1:10" ht="18.75" x14ac:dyDescent="0.3">
      <c r="B2" s="108" t="s">
        <v>85</v>
      </c>
    </row>
    <row r="3" spans="1:10" x14ac:dyDescent="0.25">
      <c r="B3" s="4"/>
      <c r="C3" s="4"/>
      <c r="D3" s="4"/>
      <c r="E3" s="4"/>
      <c r="F3" s="4"/>
      <c r="G3" s="4"/>
      <c r="H3" s="4"/>
      <c r="I3" s="4"/>
      <c r="J3" s="4"/>
    </row>
    <row r="4" spans="1:10" ht="3" customHeight="1" x14ac:dyDescent="0.25">
      <c r="A4" s="5"/>
      <c r="B4" s="5"/>
      <c r="C4" s="5"/>
      <c r="D4" s="5"/>
      <c r="E4" s="5"/>
      <c r="F4" s="5"/>
      <c r="G4" s="5"/>
      <c r="H4" s="5"/>
      <c r="I4" s="5"/>
      <c r="J4" s="5"/>
    </row>
    <row r="5" spans="1:10" x14ac:dyDescent="0.25">
      <c r="B5" s="4"/>
      <c r="C5" s="4"/>
      <c r="D5" s="4"/>
      <c r="E5" s="4"/>
      <c r="F5" s="4"/>
      <c r="G5" s="4"/>
      <c r="H5" s="4"/>
      <c r="I5" s="4"/>
      <c r="J5" s="4"/>
    </row>
    <row r="6" spans="1:10" x14ac:dyDescent="0.25"/>
    <row r="7" spans="1:10" ht="18.75" x14ac:dyDescent="0.3">
      <c r="B7" s="13" t="s">
        <v>3</v>
      </c>
    </row>
    <row r="8" spans="1:10" ht="30" x14ac:dyDescent="0.25">
      <c r="B8" s="15" t="s">
        <v>17</v>
      </c>
      <c r="C8" s="15"/>
      <c r="D8" s="15"/>
      <c r="E8" s="15"/>
      <c r="F8" s="15"/>
      <c r="G8" s="15"/>
      <c r="H8" s="15"/>
      <c r="I8" s="15"/>
      <c r="J8" s="15"/>
    </row>
    <row r="9" spans="1:10" x14ac:dyDescent="0.25">
      <c r="B9" s="15" t="s">
        <v>5</v>
      </c>
      <c r="C9" s="15"/>
      <c r="D9" s="15"/>
      <c r="E9" s="15"/>
      <c r="F9" s="15"/>
      <c r="G9" s="15"/>
      <c r="H9" s="15"/>
      <c r="I9" s="15"/>
      <c r="J9" s="15"/>
    </row>
    <row r="10" spans="1:10" ht="47.25" customHeight="1" x14ac:dyDescent="0.25">
      <c r="B10" s="15" t="s">
        <v>6</v>
      </c>
      <c r="C10" s="15"/>
      <c r="D10" s="15"/>
      <c r="E10" s="15"/>
      <c r="F10" s="15"/>
      <c r="G10" s="15"/>
      <c r="H10" s="15"/>
      <c r="I10" s="15"/>
      <c r="J10" s="15"/>
    </row>
    <row r="11" spans="1:10" x14ac:dyDescent="0.25"/>
    <row r="12" spans="1:10" x14ac:dyDescent="0.25">
      <c r="B12" s="4"/>
      <c r="C12" s="4"/>
      <c r="D12" s="4"/>
      <c r="E12" s="4"/>
      <c r="F12" s="4"/>
      <c r="G12" s="4"/>
      <c r="H12" s="4"/>
      <c r="I12" s="4"/>
      <c r="J12" s="4"/>
    </row>
    <row r="13" spans="1:10" ht="3" customHeight="1" x14ac:dyDescent="0.25">
      <c r="A13" s="5"/>
      <c r="B13" s="5"/>
      <c r="C13" s="5"/>
      <c r="D13" s="5"/>
      <c r="E13" s="5"/>
      <c r="F13" s="5"/>
      <c r="G13" s="5"/>
      <c r="H13" s="5"/>
      <c r="I13" s="5"/>
      <c r="J13" s="5"/>
    </row>
    <row r="14" spans="1:10" x14ac:dyDescent="0.25">
      <c r="B14" s="4"/>
      <c r="C14" s="4"/>
      <c r="D14" s="4"/>
      <c r="E14" s="4"/>
      <c r="F14" s="4"/>
      <c r="G14" s="4"/>
      <c r="H14" s="4"/>
      <c r="I14" s="4"/>
      <c r="J14" s="4"/>
    </row>
    <row r="15" spans="1:10" ht="18.75" x14ac:dyDescent="0.3">
      <c r="B15" s="300" t="s">
        <v>4</v>
      </c>
    </row>
    <row r="16" spans="1:10" x14ac:dyDescent="0.25">
      <c r="B16" s="15" t="s">
        <v>369</v>
      </c>
    </row>
    <row r="17" spans="1:10" x14ac:dyDescent="0.25">
      <c r="B17" s="14" t="s">
        <v>370</v>
      </c>
    </row>
    <row r="18" spans="1:10" x14ac:dyDescent="0.25"/>
    <row r="19" spans="1:10" ht="18.75" x14ac:dyDescent="0.3">
      <c r="B19" s="300" t="s">
        <v>80</v>
      </c>
    </row>
    <row r="20" spans="1:10" ht="14.25" customHeight="1" x14ac:dyDescent="0.25">
      <c r="B20" s="15" t="s">
        <v>371</v>
      </c>
    </row>
    <row r="21" spans="1:10" x14ac:dyDescent="0.25">
      <c r="B21" s="14" t="s">
        <v>81</v>
      </c>
    </row>
    <row r="22" spans="1:10" x14ac:dyDescent="0.25"/>
    <row r="23" spans="1:10" ht="18.75" x14ac:dyDescent="0.3">
      <c r="B23" s="300" t="s">
        <v>343</v>
      </c>
    </row>
    <row r="24" spans="1:10" ht="30" x14ac:dyDescent="0.25">
      <c r="B24" s="15" t="s">
        <v>344</v>
      </c>
    </row>
    <row r="25" spans="1:10" x14ac:dyDescent="0.25">
      <c r="B25" s="15" t="s">
        <v>345</v>
      </c>
    </row>
    <row r="26" spans="1:10" ht="32.25" customHeight="1" x14ac:dyDescent="0.25">
      <c r="B26" s="15" t="s">
        <v>346</v>
      </c>
    </row>
    <row r="27" spans="1:10" x14ac:dyDescent="0.25"/>
    <row r="28" spans="1:10" ht="18.75" x14ac:dyDescent="0.3">
      <c r="A28" s="301"/>
      <c r="B28" s="302" t="s">
        <v>347</v>
      </c>
      <c r="C28" s="301"/>
      <c r="D28" s="301"/>
      <c r="E28" s="301"/>
      <c r="F28" s="301"/>
      <c r="G28" s="301"/>
      <c r="H28" s="301"/>
      <c r="I28" s="301"/>
      <c r="J28" s="301"/>
    </row>
    <row r="29" spans="1:10" x14ac:dyDescent="0.25"/>
    <row r="30" spans="1:10" x14ac:dyDescent="0.25">
      <c r="B30" s="31" t="s">
        <v>82</v>
      </c>
    </row>
    <row r="31" spans="1:10" x14ac:dyDescent="0.25">
      <c r="B31" s="33"/>
    </row>
    <row r="32" spans="1:10" x14ac:dyDescent="0.25"/>
    <row r="33" spans="2:2" x14ac:dyDescent="0.25"/>
    <row r="34" spans="2:2" x14ac:dyDescent="0.25"/>
    <row r="35" spans="2:2" x14ac:dyDescent="0.25"/>
    <row r="36" spans="2:2" x14ac:dyDescent="0.25"/>
    <row r="37" spans="2:2" x14ac:dyDescent="0.25"/>
    <row r="38" spans="2:2" x14ac:dyDescent="0.25"/>
    <row r="39" spans="2:2" x14ac:dyDescent="0.25"/>
    <row r="40" spans="2:2" x14ac:dyDescent="0.25"/>
    <row r="41" spans="2:2" x14ac:dyDescent="0.25"/>
    <row r="42" spans="2:2" x14ac:dyDescent="0.25"/>
    <row r="43" spans="2:2" x14ac:dyDescent="0.25"/>
    <row r="44" spans="2:2" x14ac:dyDescent="0.25"/>
    <row r="45" spans="2:2" x14ac:dyDescent="0.25"/>
    <row r="46" spans="2:2" x14ac:dyDescent="0.25"/>
    <row r="47" spans="2:2" x14ac:dyDescent="0.25"/>
    <row r="48" spans="2:2" x14ac:dyDescent="0.25">
      <c r="B48" s="31" t="s">
        <v>84</v>
      </c>
    </row>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2:2" x14ac:dyDescent="0.25"/>
    <row r="98" spans="2:2" x14ac:dyDescent="0.25"/>
    <row r="99" spans="2:2" x14ac:dyDescent="0.25"/>
    <row r="100" spans="2:2" x14ac:dyDescent="0.25"/>
    <row r="101" spans="2:2" x14ac:dyDescent="0.25"/>
    <row r="102" spans="2:2" x14ac:dyDescent="0.25"/>
    <row r="103" spans="2:2" x14ac:dyDescent="0.25"/>
    <row r="104" spans="2:2" ht="18.75" x14ac:dyDescent="0.3">
      <c r="B104" s="106" t="s">
        <v>83</v>
      </c>
    </row>
    <row r="105" spans="2:2" x14ac:dyDescent="0.25"/>
    <row r="106" spans="2:2" x14ac:dyDescent="0.25">
      <c r="B106" s="31" t="s">
        <v>86</v>
      </c>
    </row>
    <row r="107" spans="2:2" x14ac:dyDescent="0.25"/>
    <row r="108" spans="2:2" x14ac:dyDescent="0.25"/>
    <row r="109" spans="2:2" x14ac:dyDescent="0.25"/>
    <row r="110" spans="2:2" x14ac:dyDescent="0.25"/>
    <row r="111" spans="2:2" x14ac:dyDescent="0.25"/>
    <row r="112" spans="2: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spans="2:2" x14ac:dyDescent="0.25"/>
    <row r="178" spans="2:2" x14ac:dyDescent="0.25"/>
    <row r="179" spans="2:2" x14ac:dyDescent="0.25"/>
    <row r="180" spans="2:2" x14ac:dyDescent="0.25"/>
    <row r="181" spans="2:2" x14ac:dyDescent="0.25"/>
    <row r="182" spans="2:2" x14ac:dyDescent="0.25"/>
    <row r="183" spans="2:2" x14ac:dyDescent="0.25"/>
    <row r="184" spans="2:2" x14ac:dyDescent="0.25"/>
    <row r="185" spans="2:2" x14ac:dyDescent="0.25"/>
    <row r="186" spans="2:2" x14ac:dyDescent="0.25"/>
    <row r="187" spans="2:2" x14ac:dyDescent="0.25"/>
    <row r="188" spans="2:2" x14ac:dyDescent="0.25"/>
    <row r="189" spans="2:2" x14ac:dyDescent="0.25"/>
    <row r="190" spans="2:2" x14ac:dyDescent="0.25">
      <c r="B190" s="107" t="s">
        <v>166</v>
      </c>
    </row>
    <row r="191" spans="2:2" x14ac:dyDescent="0.25"/>
    <row r="192" spans="2:2" x14ac:dyDescent="0.25"/>
    <row r="193" spans="1:10" x14ac:dyDescent="0.25"/>
    <row r="194" spans="1:10" x14ac:dyDescent="0.25"/>
    <row r="195" spans="1:10" x14ac:dyDescent="0.25"/>
    <row r="196" spans="1:10" x14ac:dyDescent="0.25"/>
    <row r="197" spans="1:10" x14ac:dyDescent="0.25"/>
    <row r="198" spans="1:10" x14ac:dyDescent="0.25"/>
    <row r="199" spans="1:10" ht="15.75" thickBot="1" x14ac:dyDescent="0.3"/>
    <row r="200" spans="1:10" ht="15.75" thickBot="1" x14ac:dyDescent="0.3">
      <c r="E200" s="303" t="s">
        <v>354</v>
      </c>
    </row>
    <row r="201" spans="1:10" x14ac:dyDescent="0.25"/>
    <row r="202" spans="1:10" x14ac:dyDescent="0.25"/>
    <row r="203" spans="1:10" ht="18.75" x14ac:dyDescent="0.3">
      <c r="A203" s="301"/>
      <c r="B203" s="302" t="s">
        <v>348</v>
      </c>
      <c r="C203" s="301"/>
      <c r="D203" s="301"/>
      <c r="E203" s="301"/>
      <c r="F203" s="301"/>
      <c r="G203" s="301"/>
      <c r="H203" s="301"/>
      <c r="I203" s="301"/>
      <c r="J203" s="301"/>
    </row>
    <row r="204" spans="1:10" x14ac:dyDescent="0.25"/>
    <row r="205" spans="1:10" x14ac:dyDescent="0.25">
      <c r="B205" s="107" t="s">
        <v>349</v>
      </c>
    </row>
    <row r="206" spans="1:10" x14ac:dyDescent="0.25"/>
    <row r="207" spans="1:10" x14ac:dyDescent="0.25"/>
    <row r="208" spans="1:10" x14ac:dyDescent="0.25"/>
    <row r="209" spans="2:2" x14ac:dyDescent="0.25"/>
    <row r="210" spans="2:2" x14ac:dyDescent="0.25"/>
    <row r="211" spans="2:2" x14ac:dyDescent="0.25"/>
    <row r="212" spans="2:2" x14ac:dyDescent="0.25"/>
    <row r="213" spans="2:2" x14ac:dyDescent="0.25"/>
    <row r="214" spans="2:2" x14ac:dyDescent="0.25"/>
    <row r="215" spans="2:2" x14ac:dyDescent="0.25"/>
    <row r="216" spans="2:2" x14ac:dyDescent="0.25"/>
    <row r="217" spans="2:2" x14ac:dyDescent="0.25"/>
    <row r="218" spans="2:2" x14ac:dyDescent="0.25"/>
    <row r="219" spans="2:2" x14ac:dyDescent="0.25"/>
    <row r="220" spans="2:2" x14ac:dyDescent="0.25"/>
    <row r="221" spans="2:2" x14ac:dyDescent="0.25"/>
    <row r="222" spans="2:2" x14ac:dyDescent="0.25"/>
    <row r="223" spans="2:2" x14ac:dyDescent="0.25"/>
    <row r="224" spans="2:2" x14ac:dyDescent="0.25">
      <c r="B224" s="107" t="s">
        <v>350</v>
      </c>
    </row>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spans="2:2" x14ac:dyDescent="0.25"/>
    <row r="242" spans="2:2" x14ac:dyDescent="0.25">
      <c r="B242" s="107" t="s">
        <v>351</v>
      </c>
    </row>
    <row r="243" spans="2:2" x14ac:dyDescent="0.25"/>
    <row r="244" spans="2:2" x14ac:dyDescent="0.25"/>
    <row r="245" spans="2:2" x14ac:dyDescent="0.25"/>
    <row r="246" spans="2:2" x14ac:dyDescent="0.25"/>
    <row r="247" spans="2:2" x14ac:dyDescent="0.25"/>
    <row r="248" spans="2:2" x14ac:dyDescent="0.25"/>
    <row r="249" spans="2:2" x14ac:dyDescent="0.25"/>
    <row r="250" spans="2:2" x14ac:dyDescent="0.25"/>
    <row r="251" spans="2:2" x14ac:dyDescent="0.25"/>
    <row r="252" spans="2:2" x14ac:dyDescent="0.25"/>
    <row r="253" spans="2:2" x14ac:dyDescent="0.25"/>
    <row r="254" spans="2:2" x14ac:dyDescent="0.25"/>
    <row r="255" spans="2:2" x14ac:dyDescent="0.25"/>
    <row r="256" spans="2:2" x14ac:dyDescent="0.25"/>
    <row r="257" spans="1:10" x14ac:dyDescent="0.25"/>
    <row r="258" spans="1:10" ht="15.75" thickBot="1" x14ac:dyDescent="0.3"/>
    <row r="259" spans="1:10" ht="15.75" thickBot="1" x14ac:dyDescent="0.3">
      <c r="E259" s="303" t="s">
        <v>354</v>
      </c>
    </row>
    <row r="260" spans="1:10" x14ac:dyDescent="0.25"/>
    <row r="261" spans="1:10" ht="18.75" x14ac:dyDescent="0.3">
      <c r="A261" s="301"/>
      <c r="B261" s="302" t="s">
        <v>352</v>
      </c>
      <c r="C261" s="301"/>
      <c r="D261" s="301"/>
      <c r="E261" s="301"/>
      <c r="F261" s="301"/>
      <c r="G261" s="301"/>
      <c r="H261" s="301"/>
      <c r="I261" s="301"/>
      <c r="J261" s="301"/>
    </row>
    <row r="262" spans="1:10" x14ac:dyDescent="0.25"/>
    <row r="263" spans="1:10" x14ac:dyDescent="0.25">
      <c r="B263" s="14" t="s">
        <v>353</v>
      </c>
    </row>
    <row r="264" spans="1:10" x14ac:dyDescent="0.25"/>
    <row r="265" spans="1:10" x14ac:dyDescent="0.25"/>
    <row r="266" spans="1:10" x14ac:dyDescent="0.25"/>
    <row r="267" spans="1:10" x14ac:dyDescent="0.25"/>
    <row r="268" spans="1:10" x14ac:dyDescent="0.25"/>
    <row r="269" spans="1:10" x14ac:dyDescent="0.25"/>
    <row r="270" spans="1:10" x14ac:dyDescent="0.25"/>
    <row r="271" spans="1:10" x14ac:dyDescent="0.25"/>
    <row r="272" spans="1:10" x14ac:dyDescent="0.25">
      <c r="B272" s="107" t="s">
        <v>102</v>
      </c>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spans="2:2" x14ac:dyDescent="0.25"/>
    <row r="290" spans="2:2" x14ac:dyDescent="0.25"/>
    <row r="291" spans="2:2" x14ac:dyDescent="0.25"/>
    <row r="292" spans="2:2" x14ac:dyDescent="0.25"/>
    <row r="293" spans="2:2" x14ac:dyDescent="0.25"/>
    <row r="294" spans="2:2" x14ac:dyDescent="0.25"/>
    <row r="295" spans="2:2" x14ac:dyDescent="0.25"/>
    <row r="296" spans="2:2" x14ac:dyDescent="0.25">
      <c r="B296" s="107" t="s">
        <v>355</v>
      </c>
    </row>
    <row r="297" spans="2:2" x14ac:dyDescent="0.25"/>
    <row r="298" spans="2:2" x14ac:dyDescent="0.25"/>
    <row r="299" spans="2:2" x14ac:dyDescent="0.25"/>
    <row r="300" spans="2:2" x14ac:dyDescent="0.25"/>
    <row r="301" spans="2:2" x14ac:dyDescent="0.25"/>
    <row r="302" spans="2:2" x14ac:dyDescent="0.25"/>
    <row r="303" spans="2:2" x14ac:dyDescent="0.25"/>
    <row r="304" spans="2:2" x14ac:dyDescent="0.25"/>
    <row r="305" spans="2:2" x14ac:dyDescent="0.25"/>
    <row r="306" spans="2:2" x14ac:dyDescent="0.25">
      <c r="B306" s="107" t="s">
        <v>356</v>
      </c>
    </row>
    <row r="307" spans="2:2" x14ac:dyDescent="0.25"/>
    <row r="308" spans="2:2" x14ac:dyDescent="0.25"/>
    <row r="309" spans="2:2" x14ac:dyDescent="0.25"/>
    <row r="310" spans="2:2" x14ac:dyDescent="0.25"/>
    <row r="311" spans="2:2" x14ac:dyDescent="0.25"/>
    <row r="312" spans="2:2" x14ac:dyDescent="0.25"/>
    <row r="313" spans="2:2" x14ac:dyDescent="0.25"/>
    <row r="314" spans="2:2" x14ac:dyDescent="0.25"/>
    <row r="315" spans="2:2" x14ac:dyDescent="0.25"/>
    <row r="316" spans="2:2" x14ac:dyDescent="0.25"/>
    <row r="317" spans="2:2" x14ac:dyDescent="0.25"/>
    <row r="318" spans="2:2" x14ac:dyDescent="0.25"/>
    <row r="319" spans="2:2" x14ac:dyDescent="0.25"/>
    <row r="320" spans="2:2"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spans="1:10" x14ac:dyDescent="0.25"/>
    <row r="338" spans="1:10" x14ac:dyDescent="0.25"/>
    <row r="339" spans="1:10" x14ac:dyDescent="0.25"/>
    <row r="340" spans="1:10" x14ac:dyDescent="0.25"/>
    <row r="341" spans="1:10" x14ac:dyDescent="0.25"/>
    <row r="342" spans="1:10" x14ac:dyDescent="0.25"/>
    <row r="343" spans="1:10" x14ac:dyDescent="0.25"/>
    <row r="344" spans="1:10" x14ac:dyDescent="0.25"/>
    <row r="345" spans="1:10" x14ac:dyDescent="0.25"/>
    <row r="346" spans="1:10" x14ac:dyDescent="0.25"/>
    <row r="347" spans="1:10" ht="15.75" thickBot="1" x14ac:dyDescent="0.3"/>
    <row r="348" spans="1:10" ht="15.75" thickBot="1" x14ac:dyDescent="0.3">
      <c r="E348" s="303" t="s">
        <v>354</v>
      </c>
    </row>
    <row r="349" spans="1:10" x14ac:dyDescent="0.25"/>
    <row r="350" spans="1:10" ht="18.75" x14ac:dyDescent="0.3">
      <c r="A350" s="301"/>
      <c r="B350" s="302" t="s">
        <v>87</v>
      </c>
      <c r="C350" s="301"/>
      <c r="D350" s="301"/>
      <c r="E350" s="301"/>
      <c r="F350" s="301"/>
      <c r="G350" s="301"/>
      <c r="H350" s="301"/>
      <c r="I350" s="301"/>
      <c r="J350" s="301"/>
    </row>
    <row r="351" spans="1:10" ht="14.25" customHeight="1" x14ac:dyDescent="0.25">
      <c r="B351" s="15"/>
    </row>
    <row r="352" spans="1:10" ht="14.25" customHeight="1" x14ac:dyDescent="0.25">
      <c r="B352" s="31" t="s">
        <v>358</v>
      </c>
    </row>
    <row r="353" spans="2:2" ht="14.25" customHeight="1" x14ac:dyDescent="0.25">
      <c r="B353" s="31"/>
    </row>
    <row r="354" spans="2:2" ht="14.25" customHeight="1" x14ac:dyDescent="0.25">
      <c r="B354" s="15" t="s">
        <v>88</v>
      </c>
    </row>
    <row r="355" spans="2:2" x14ac:dyDescent="0.25">
      <c r="B355" s="14" t="s">
        <v>372</v>
      </c>
    </row>
    <row r="356" spans="2:2" x14ac:dyDescent="0.25">
      <c r="B356" s="14" t="s">
        <v>357</v>
      </c>
    </row>
    <row r="357" spans="2:2" x14ac:dyDescent="0.25"/>
    <row r="358" spans="2:2" x14ac:dyDescent="0.25"/>
    <row r="359" spans="2:2" x14ac:dyDescent="0.25"/>
    <row r="360" spans="2:2" x14ac:dyDescent="0.25"/>
    <row r="361" spans="2:2" x14ac:dyDescent="0.25"/>
    <row r="362" spans="2:2" x14ac:dyDescent="0.25"/>
    <row r="363" spans="2:2" x14ac:dyDescent="0.25"/>
    <row r="364" spans="2:2" x14ac:dyDescent="0.25"/>
    <row r="365" spans="2:2" x14ac:dyDescent="0.25"/>
    <row r="366" spans="2:2" x14ac:dyDescent="0.25"/>
    <row r="367" spans="2:2" x14ac:dyDescent="0.25"/>
    <row r="368" spans="2:2" x14ac:dyDescent="0.25"/>
    <row r="369" spans="2:2" x14ac:dyDescent="0.25"/>
    <row r="370" spans="2:2" x14ac:dyDescent="0.25"/>
    <row r="371" spans="2:2" x14ac:dyDescent="0.25"/>
    <row r="372" spans="2:2" x14ac:dyDescent="0.25"/>
    <row r="373" spans="2:2" x14ac:dyDescent="0.25"/>
    <row r="374" spans="2:2" x14ac:dyDescent="0.25"/>
    <row r="375" spans="2:2" x14ac:dyDescent="0.25"/>
    <row r="376" spans="2:2" x14ac:dyDescent="0.25"/>
    <row r="377" spans="2:2" x14ac:dyDescent="0.25"/>
    <row r="378" spans="2:2" x14ac:dyDescent="0.25"/>
    <row r="379" spans="2:2" x14ac:dyDescent="0.25"/>
    <row r="380" spans="2:2" x14ac:dyDescent="0.25"/>
    <row r="381" spans="2:2" x14ac:dyDescent="0.25"/>
    <row r="382" spans="2:2" x14ac:dyDescent="0.25">
      <c r="B382" s="107" t="s">
        <v>89</v>
      </c>
    </row>
    <row r="383" spans="2:2" x14ac:dyDescent="0.25"/>
    <row r="384" spans="2:2" x14ac:dyDescent="0.25">
      <c r="B384" s="107" t="s">
        <v>90</v>
      </c>
    </row>
    <row r="385" spans="2:2" x14ac:dyDescent="0.25">
      <c r="B385" s="14" t="s">
        <v>91</v>
      </c>
    </row>
    <row r="386" spans="2:2" x14ac:dyDescent="0.25"/>
    <row r="387" spans="2:2" x14ac:dyDescent="0.25"/>
    <row r="388" spans="2:2" x14ac:dyDescent="0.25"/>
    <row r="389" spans="2:2" x14ac:dyDescent="0.25"/>
    <row r="390" spans="2:2" x14ac:dyDescent="0.25">
      <c r="B390" s="107" t="s">
        <v>92</v>
      </c>
    </row>
    <row r="391" spans="2:2" x14ac:dyDescent="0.25">
      <c r="B391" s="14" t="s">
        <v>93</v>
      </c>
    </row>
    <row r="392" spans="2:2" x14ac:dyDescent="0.25">
      <c r="B392" s="14" t="s">
        <v>94</v>
      </c>
    </row>
    <row r="393" spans="2:2" x14ac:dyDescent="0.25">
      <c r="B393" s="14" t="s">
        <v>367</v>
      </c>
    </row>
    <row r="394" spans="2:2" x14ac:dyDescent="0.25">
      <c r="B394" s="14" t="s">
        <v>98</v>
      </c>
    </row>
    <row r="395" spans="2:2" x14ac:dyDescent="0.25"/>
    <row r="396" spans="2:2" x14ac:dyDescent="0.25"/>
    <row r="397" spans="2:2" x14ac:dyDescent="0.25"/>
    <row r="398" spans="2:2" x14ac:dyDescent="0.25"/>
    <row r="399" spans="2:2" x14ac:dyDescent="0.25"/>
    <row r="400" spans="2:2" x14ac:dyDescent="0.25"/>
    <row r="401" spans="2:2" x14ac:dyDescent="0.25"/>
    <row r="402" spans="2:2" x14ac:dyDescent="0.25"/>
    <row r="403" spans="2:2" x14ac:dyDescent="0.25"/>
    <row r="404" spans="2:2" x14ac:dyDescent="0.25"/>
    <row r="405" spans="2:2" x14ac:dyDescent="0.25">
      <c r="B405" s="107" t="s">
        <v>95</v>
      </c>
    </row>
    <row r="406" spans="2:2" x14ac:dyDescent="0.25">
      <c r="B406" s="14" t="s">
        <v>96</v>
      </c>
    </row>
    <row r="407" spans="2:2" x14ac:dyDescent="0.25">
      <c r="B407" s="14" t="s">
        <v>97</v>
      </c>
    </row>
    <row r="408" spans="2:2" x14ac:dyDescent="0.25">
      <c r="B408" s="14" t="s">
        <v>368</v>
      </c>
    </row>
    <row r="409" spans="2:2" x14ac:dyDescent="0.25"/>
    <row r="410" spans="2:2" x14ac:dyDescent="0.25"/>
    <row r="411" spans="2:2" x14ac:dyDescent="0.25"/>
    <row r="412" spans="2:2" x14ac:dyDescent="0.25"/>
    <row r="413" spans="2:2" x14ac:dyDescent="0.25"/>
    <row r="414" spans="2:2" x14ac:dyDescent="0.25"/>
    <row r="415" spans="2:2" x14ac:dyDescent="0.25"/>
    <row r="416" spans="2:2" x14ac:dyDescent="0.25"/>
    <row r="417" spans="2:2" x14ac:dyDescent="0.25"/>
    <row r="418" spans="2:2" x14ac:dyDescent="0.25"/>
    <row r="419" spans="2:2" x14ac:dyDescent="0.25"/>
    <row r="420" spans="2:2" x14ac:dyDescent="0.25">
      <c r="B420" s="31" t="s">
        <v>360</v>
      </c>
    </row>
    <row r="421" spans="2:2" x14ac:dyDescent="0.25"/>
    <row r="422" spans="2:2" x14ac:dyDescent="0.25">
      <c r="B422" s="15" t="s">
        <v>361</v>
      </c>
    </row>
    <row r="423" spans="2:2" x14ac:dyDescent="0.25">
      <c r="B423" s="14" t="s">
        <v>362</v>
      </c>
    </row>
    <row r="424" spans="2:2" x14ac:dyDescent="0.25">
      <c r="B424" s="14" t="s">
        <v>366</v>
      </c>
    </row>
    <row r="425" spans="2:2" x14ac:dyDescent="0.25"/>
    <row r="426" spans="2:2" x14ac:dyDescent="0.25"/>
    <row r="427" spans="2:2" x14ac:dyDescent="0.25"/>
    <row r="428" spans="2:2" x14ac:dyDescent="0.25"/>
    <row r="429" spans="2:2" x14ac:dyDescent="0.25"/>
    <row r="430" spans="2:2" x14ac:dyDescent="0.25"/>
    <row r="431" spans="2:2" x14ac:dyDescent="0.25"/>
    <row r="432" spans="2: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spans="2:2" x14ac:dyDescent="0.25"/>
    <row r="450" spans="2:2" x14ac:dyDescent="0.25"/>
    <row r="451" spans="2:2" x14ac:dyDescent="0.25"/>
    <row r="452" spans="2:2" x14ac:dyDescent="0.25"/>
    <row r="453" spans="2:2" x14ac:dyDescent="0.25"/>
    <row r="454" spans="2:2" x14ac:dyDescent="0.25"/>
    <row r="455" spans="2:2" x14ac:dyDescent="0.25">
      <c r="B455" s="31" t="s">
        <v>359</v>
      </c>
    </row>
    <row r="456" spans="2:2" x14ac:dyDescent="0.25"/>
    <row r="457" spans="2:2" x14ac:dyDescent="0.25">
      <c r="B457" s="15" t="s">
        <v>363</v>
      </c>
    </row>
    <row r="458" spans="2:2" x14ac:dyDescent="0.25">
      <c r="B458" s="14" t="s">
        <v>364</v>
      </c>
    </row>
    <row r="459" spans="2:2" x14ac:dyDescent="0.25">
      <c r="B459" s="14" t="s">
        <v>365</v>
      </c>
    </row>
    <row r="460" spans="2:2" x14ac:dyDescent="0.25"/>
    <row r="461" spans="2:2" x14ac:dyDescent="0.25"/>
    <row r="462" spans="2:2" x14ac:dyDescent="0.25"/>
    <row r="463" spans="2:2" x14ac:dyDescent="0.25"/>
    <row r="464" spans="2:2"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spans="1:16384" x14ac:dyDescent="0.25"/>
    <row r="482" spans="1:16384" x14ac:dyDescent="0.25"/>
    <row r="483" spans="1:16384" x14ac:dyDescent="0.25"/>
    <row r="484" spans="1:16384" ht="15.75" thickBot="1" x14ac:dyDescent="0.3"/>
    <row r="485" spans="1:16384" ht="15.75" thickBot="1" x14ac:dyDescent="0.3">
      <c r="E485" s="303" t="s">
        <v>354</v>
      </c>
    </row>
    <row r="486" spans="1:16384" x14ac:dyDescent="0.25"/>
    <row r="487" spans="1:16384" ht="18.75" x14ac:dyDescent="0.3">
      <c r="A487" s="301"/>
      <c r="B487" s="302"/>
      <c r="C487" s="301"/>
      <c r="D487" s="301"/>
      <c r="E487" s="301"/>
      <c r="F487" s="301"/>
      <c r="G487" s="301"/>
      <c r="H487" s="301"/>
      <c r="I487" s="301"/>
      <c r="J487" s="301"/>
      <c r="K487" s="4"/>
      <c r="L487" s="4"/>
      <c r="M487" s="4"/>
      <c r="N487" s="4"/>
      <c r="O487" s="4"/>
      <c r="P487" s="4"/>
      <c r="Q487" s="4"/>
    </row>
    <row r="488" spans="1:16384" ht="3" customHeight="1" x14ac:dyDescent="0.25">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c r="XA488" s="4"/>
      <c r="XB488" s="4"/>
      <c r="XC488" s="4"/>
      <c r="XD488" s="4"/>
      <c r="XE488" s="4"/>
      <c r="XF488" s="4"/>
      <c r="XG488" s="4"/>
      <c r="XH488" s="4"/>
      <c r="XI488" s="4"/>
      <c r="XJ488" s="4"/>
      <c r="XK488" s="4"/>
      <c r="XL488" s="4"/>
      <c r="XM488" s="4"/>
      <c r="XN488" s="4"/>
      <c r="XO488" s="4"/>
      <c r="XP488" s="4"/>
      <c r="XQ488" s="4"/>
      <c r="XR488" s="4"/>
      <c r="XS488" s="4"/>
      <c r="XT488" s="4"/>
      <c r="XU488" s="4"/>
      <c r="XV488" s="4"/>
      <c r="XW488" s="4"/>
      <c r="XX488" s="4"/>
      <c r="XY488" s="4"/>
      <c r="XZ488" s="4"/>
      <c r="YA488" s="4"/>
      <c r="YB488" s="4"/>
      <c r="YC488" s="4"/>
      <c r="YD488" s="4"/>
      <c r="YE488" s="4"/>
      <c r="YF488" s="4"/>
      <c r="YG488" s="4"/>
      <c r="YH488" s="4"/>
      <c r="YI488" s="4"/>
      <c r="YJ488" s="4"/>
      <c r="YK488" s="4"/>
      <c r="YL488" s="4"/>
      <c r="YM488" s="4"/>
      <c r="YN488" s="4"/>
      <c r="YO488" s="4"/>
      <c r="YP488" s="4"/>
      <c r="YQ488" s="4"/>
      <c r="YR488" s="4"/>
      <c r="YS488" s="4"/>
      <c r="YT488" s="4"/>
      <c r="YU488" s="4"/>
      <c r="YV488" s="4"/>
      <c r="YW488" s="4"/>
      <c r="YX488" s="4"/>
      <c r="YY488" s="4"/>
      <c r="YZ488" s="4"/>
      <c r="ZA488" s="4"/>
      <c r="ZB488" s="4"/>
      <c r="ZC488" s="4"/>
      <c r="ZD488" s="4"/>
      <c r="ZE488" s="4"/>
      <c r="ZF488" s="4"/>
      <c r="ZG488" s="4"/>
      <c r="ZH488" s="4"/>
      <c r="ZI488" s="4"/>
      <c r="ZJ488" s="4"/>
      <c r="ZK488" s="4"/>
      <c r="ZL488" s="4"/>
      <c r="ZM488" s="4"/>
      <c r="ZN488" s="4"/>
      <c r="ZO488" s="4"/>
      <c r="ZP488" s="4"/>
      <c r="ZQ488" s="4"/>
      <c r="ZR488" s="4"/>
      <c r="ZS488" s="4"/>
      <c r="ZT488" s="4"/>
      <c r="ZU488" s="4"/>
      <c r="ZV488" s="4"/>
      <c r="ZW488" s="4"/>
      <c r="ZX488" s="4"/>
      <c r="ZY488" s="4"/>
      <c r="ZZ488" s="4"/>
      <c r="AAA488" s="4"/>
      <c r="AAB488" s="4"/>
      <c r="AAC488" s="4"/>
      <c r="AAD488" s="4"/>
      <c r="AAE488" s="4"/>
      <c r="AAF488" s="4"/>
      <c r="AAG488" s="4"/>
      <c r="AAH488" s="4"/>
      <c r="AAI488" s="4"/>
      <c r="AAJ488" s="4"/>
      <c r="AAK488" s="4"/>
      <c r="AAL488" s="4"/>
      <c r="AAM488" s="4"/>
      <c r="AAN488" s="4"/>
      <c r="AAO488" s="4"/>
      <c r="AAP488" s="4"/>
      <c r="AAQ488" s="4"/>
      <c r="AAR488" s="4"/>
      <c r="AAS488" s="4"/>
      <c r="AAT488" s="4"/>
      <c r="AAU488" s="4"/>
      <c r="AAV488" s="4"/>
      <c r="AAW488" s="4"/>
      <c r="AAX488" s="4"/>
      <c r="AAY488" s="4"/>
      <c r="AAZ488" s="4"/>
      <c r="ABA488" s="4"/>
      <c r="ABB488" s="4"/>
      <c r="ABC488" s="4"/>
      <c r="ABD488" s="4"/>
      <c r="ABE488" s="4"/>
      <c r="ABF488" s="4"/>
      <c r="ABG488" s="4"/>
      <c r="ABH488" s="4"/>
      <c r="ABI488" s="4"/>
      <c r="ABJ488" s="4"/>
      <c r="ABK488" s="4"/>
      <c r="ABL488" s="4"/>
      <c r="ABM488" s="4"/>
      <c r="ABN488" s="4"/>
      <c r="ABO488" s="4"/>
      <c r="ABP488" s="4"/>
      <c r="ABQ488" s="4"/>
      <c r="ABR488" s="4"/>
      <c r="ABS488" s="4"/>
      <c r="ABT488" s="4"/>
      <c r="ABU488" s="4"/>
      <c r="ABV488" s="4"/>
      <c r="ABW488" s="4"/>
      <c r="ABX488" s="4"/>
      <c r="ABY488" s="4"/>
      <c r="ABZ488" s="4"/>
      <c r="ACA488" s="4"/>
      <c r="ACB488" s="4"/>
      <c r="ACC488" s="4"/>
      <c r="ACD488" s="4"/>
      <c r="ACE488" s="4"/>
      <c r="ACF488" s="4"/>
      <c r="ACG488" s="4"/>
      <c r="ACH488" s="4"/>
      <c r="ACI488" s="4"/>
      <c r="ACJ488" s="4"/>
      <c r="ACK488" s="4"/>
      <c r="ACL488" s="4"/>
      <c r="ACM488" s="4"/>
      <c r="ACN488" s="4"/>
      <c r="ACO488" s="4"/>
      <c r="ACP488" s="4"/>
      <c r="ACQ488" s="4"/>
      <c r="ACR488" s="4"/>
      <c r="ACS488" s="4"/>
      <c r="ACT488" s="4"/>
      <c r="ACU488" s="4"/>
      <c r="ACV488" s="4"/>
      <c r="ACW488" s="4"/>
      <c r="ACX488" s="4"/>
      <c r="ACY488" s="4"/>
      <c r="ACZ488" s="4"/>
      <c r="ADA488" s="4"/>
      <c r="ADB488" s="4"/>
      <c r="ADC488" s="4"/>
      <c r="ADD488" s="4"/>
      <c r="ADE488" s="4"/>
      <c r="ADF488" s="4"/>
      <c r="ADG488" s="4"/>
      <c r="ADH488" s="4"/>
      <c r="ADI488" s="4"/>
      <c r="ADJ488" s="4"/>
      <c r="ADK488" s="4"/>
      <c r="ADL488" s="4"/>
      <c r="ADM488" s="4"/>
      <c r="ADN488" s="4"/>
      <c r="ADO488" s="4"/>
      <c r="ADP488" s="4"/>
      <c r="ADQ488" s="4"/>
      <c r="ADR488" s="4"/>
      <c r="ADS488" s="4"/>
      <c r="ADT488" s="4"/>
      <c r="ADU488" s="4"/>
      <c r="ADV488" s="4"/>
      <c r="ADW488" s="4"/>
      <c r="ADX488" s="4"/>
      <c r="ADY488" s="4"/>
      <c r="ADZ488" s="4"/>
      <c r="AEA488" s="4"/>
      <c r="AEB488" s="4"/>
      <c r="AEC488" s="4"/>
      <c r="AED488" s="4"/>
      <c r="AEE488" s="4"/>
      <c r="AEF488" s="4"/>
      <c r="AEG488" s="4"/>
      <c r="AEH488" s="4"/>
      <c r="AEI488" s="4"/>
      <c r="AEJ488" s="4"/>
      <c r="AEK488" s="4"/>
      <c r="AEL488" s="4"/>
      <c r="AEM488" s="4"/>
      <c r="AEN488" s="4"/>
      <c r="AEO488" s="4"/>
      <c r="AEP488" s="4"/>
      <c r="AEQ488" s="4"/>
      <c r="AER488" s="4"/>
      <c r="AES488" s="4"/>
      <c r="AET488" s="4"/>
      <c r="AEU488" s="4"/>
      <c r="AEV488" s="4"/>
      <c r="AEW488" s="4"/>
      <c r="AEX488" s="4"/>
      <c r="AEY488" s="4"/>
      <c r="AEZ488" s="4"/>
      <c r="AFA488" s="4"/>
      <c r="AFB488" s="4"/>
      <c r="AFC488" s="4"/>
      <c r="AFD488" s="4"/>
      <c r="AFE488" s="4"/>
      <c r="AFF488" s="4"/>
      <c r="AFG488" s="4"/>
      <c r="AFH488" s="4"/>
      <c r="AFI488" s="4"/>
      <c r="AFJ488" s="4"/>
      <c r="AFK488" s="4"/>
      <c r="AFL488" s="4"/>
      <c r="AFM488" s="4"/>
      <c r="AFN488" s="4"/>
      <c r="AFO488" s="4"/>
      <c r="AFP488" s="4"/>
      <c r="AFQ488" s="4"/>
      <c r="AFR488" s="4"/>
      <c r="AFS488" s="4"/>
      <c r="AFT488" s="4"/>
      <c r="AFU488" s="4"/>
      <c r="AFV488" s="4"/>
      <c r="AFW488" s="4"/>
      <c r="AFX488" s="4"/>
      <c r="AFY488" s="4"/>
      <c r="AFZ488" s="4"/>
      <c r="AGA488" s="4"/>
      <c r="AGB488" s="4"/>
      <c r="AGC488" s="4"/>
      <c r="AGD488" s="4"/>
      <c r="AGE488" s="4"/>
      <c r="AGF488" s="4"/>
      <c r="AGG488" s="4"/>
      <c r="AGH488" s="4"/>
      <c r="AGI488" s="4"/>
      <c r="AGJ488" s="4"/>
      <c r="AGK488" s="4"/>
      <c r="AGL488" s="4"/>
      <c r="AGM488" s="4"/>
      <c r="AGN488" s="4"/>
      <c r="AGO488" s="4"/>
      <c r="AGP488" s="4"/>
      <c r="AGQ488" s="4"/>
      <c r="AGR488" s="4"/>
      <c r="AGS488" s="4"/>
      <c r="AGT488" s="4"/>
      <c r="AGU488" s="4"/>
      <c r="AGV488" s="4"/>
      <c r="AGW488" s="4"/>
      <c r="AGX488" s="4"/>
      <c r="AGY488" s="4"/>
      <c r="AGZ488" s="4"/>
      <c r="AHA488" s="4"/>
      <c r="AHB488" s="4"/>
      <c r="AHC488" s="4"/>
      <c r="AHD488" s="4"/>
      <c r="AHE488" s="4"/>
      <c r="AHF488" s="4"/>
      <c r="AHG488" s="4"/>
      <c r="AHH488" s="4"/>
      <c r="AHI488" s="4"/>
      <c r="AHJ488" s="4"/>
      <c r="AHK488" s="4"/>
      <c r="AHL488" s="4"/>
      <c r="AHM488" s="4"/>
      <c r="AHN488" s="4"/>
      <c r="AHO488" s="4"/>
      <c r="AHP488" s="4"/>
      <c r="AHQ488" s="4"/>
      <c r="AHR488" s="4"/>
      <c r="AHS488" s="4"/>
      <c r="AHT488" s="4"/>
      <c r="AHU488" s="4"/>
      <c r="AHV488" s="4"/>
      <c r="AHW488" s="4"/>
      <c r="AHX488" s="4"/>
      <c r="AHY488" s="4"/>
      <c r="AHZ488" s="4"/>
      <c r="AIA488" s="4"/>
      <c r="AIB488" s="4"/>
      <c r="AIC488" s="4"/>
      <c r="AID488" s="4"/>
      <c r="AIE488" s="4"/>
      <c r="AIF488" s="4"/>
      <c r="AIG488" s="4"/>
      <c r="AIH488" s="4"/>
      <c r="AII488" s="4"/>
      <c r="AIJ488" s="4"/>
      <c r="AIK488" s="4"/>
      <c r="AIL488" s="4"/>
      <c r="AIM488" s="4"/>
      <c r="AIN488" s="4"/>
      <c r="AIO488" s="4"/>
      <c r="AIP488" s="4"/>
      <c r="AIQ488" s="4"/>
      <c r="AIR488" s="4"/>
      <c r="AIS488" s="4"/>
      <c r="AIT488" s="4"/>
      <c r="AIU488" s="4"/>
      <c r="AIV488" s="4"/>
      <c r="AIW488" s="4"/>
      <c r="AIX488" s="4"/>
      <c r="AIY488" s="4"/>
      <c r="AIZ488" s="4"/>
      <c r="AJA488" s="4"/>
      <c r="AJB488" s="4"/>
      <c r="AJC488" s="4"/>
      <c r="AJD488" s="4"/>
      <c r="AJE488" s="4"/>
      <c r="AJF488" s="4"/>
      <c r="AJG488" s="4"/>
      <c r="AJH488" s="4"/>
      <c r="AJI488" s="4"/>
      <c r="AJJ488" s="4"/>
      <c r="AJK488" s="4"/>
      <c r="AJL488" s="4"/>
      <c r="AJM488" s="4"/>
      <c r="AJN488" s="4"/>
      <c r="AJO488" s="4"/>
      <c r="AJP488" s="4"/>
      <c r="AJQ488" s="4"/>
      <c r="AJR488" s="4"/>
      <c r="AJS488" s="4"/>
      <c r="AJT488" s="4"/>
      <c r="AJU488" s="4"/>
      <c r="AJV488" s="4"/>
      <c r="AJW488" s="4"/>
      <c r="AJX488" s="4"/>
      <c r="AJY488" s="4"/>
      <c r="AJZ488" s="4"/>
      <c r="AKA488" s="4"/>
      <c r="AKB488" s="4"/>
      <c r="AKC488" s="4"/>
      <c r="AKD488" s="4"/>
      <c r="AKE488" s="4"/>
      <c r="AKF488" s="4"/>
      <c r="AKG488" s="4"/>
      <c r="AKH488" s="4"/>
      <c r="AKI488" s="4"/>
      <c r="AKJ488" s="4"/>
      <c r="AKK488" s="4"/>
      <c r="AKL488" s="4"/>
      <c r="AKM488" s="4"/>
      <c r="AKN488" s="4"/>
      <c r="AKO488" s="4"/>
      <c r="AKP488" s="4"/>
      <c r="AKQ488" s="4"/>
      <c r="AKR488" s="4"/>
      <c r="AKS488" s="4"/>
      <c r="AKT488" s="4"/>
      <c r="AKU488" s="4"/>
      <c r="AKV488" s="4"/>
      <c r="AKW488" s="4"/>
      <c r="AKX488" s="4"/>
      <c r="AKY488" s="4"/>
      <c r="AKZ488" s="4"/>
      <c r="ALA488" s="4"/>
      <c r="ALB488" s="4"/>
      <c r="ALC488" s="4"/>
      <c r="ALD488" s="4"/>
      <c r="ALE488" s="4"/>
      <c r="ALF488" s="4"/>
      <c r="ALG488" s="4"/>
      <c r="ALH488" s="4"/>
      <c r="ALI488" s="4"/>
      <c r="ALJ488" s="4"/>
      <c r="ALK488" s="4"/>
      <c r="ALL488" s="4"/>
      <c r="ALM488" s="4"/>
      <c r="ALN488" s="4"/>
      <c r="ALO488" s="4"/>
      <c r="ALP488" s="4"/>
      <c r="ALQ488" s="4"/>
      <c r="ALR488" s="4"/>
      <c r="ALS488" s="4"/>
      <c r="ALT488" s="4"/>
      <c r="ALU488" s="4"/>
      <c r="ALV488" s="4"/>
      <c r="ALW488" s="4"/>
      <c r="ALX488" s="4"/>
      <c r="ALY488" s="4"/>
      <c r="ALZ488" s="4"/>
      <c r="AMA488" s="4"/>
      <c r="AMB488" s="4"/>
      <c r="AMC488" s="4"/>
      <c r="AMD488" s="4"/>
      <c r="AME488" s="4"/>
      <c r="AMF488" s="4"/>
      <c r="AMG488" s="4"/>
      <c r="AMH488" s="4"/>
      <c r="AMI488" s="4"/>
      <c r="AMJ488" s="4"/>
      <c r="AMK488" s="4"/>
      <c r="AML488" s="4"/>
      <c r="AMM488" s="4"/>
      <c r="AMN488" s="4"/>
      <c r="AMO488" s="4"/>
      <c r="AMP488" s="4"/>
      <c r="AMQ488" s="4"/>
      <c r="AMR488" s="4"/>
      <c r="AMS488" s="4"/>
      <c r="AMT488" s="4"/>
      <c r="AMU488" s="4"/>
      <c r="AMV488" s="4"/>
      <c r="AMW488" s="4"/>
      <c r="AMX488" s="4"/>
      <c r="AMY488" s="4"/>
      <c r="AMZ488" s="4"/>
      <c r="ANA488" s="4"/>
      <c r="ANB488" s="4"/>
      <c r="ANC488" s="4"/>
      <c r="AND488" s="4"/>
      <c r="ANE488" s="4"/>
      <c r="ANF488" s="4"/>
      <c r="ANG488" s="4"/>
      <c r="ANH488" s="4"/>
      <c r="ANI488" s="4"/>
      <c r="ANJ488" s="4"/>
      <c r="ANK488" s="4"/>
      <c r="ANL488" s="4"/>
      <c r="ANM488" s="4"/>
      <c r="ANN488" s="4"/>
      <c r="ANO488" s="4"/>
      <c r="ANP488" s="4"/>
      <c r="ANQ488" s="4"/>
      <c r="ANR488" s="4"/>
      <c r="ANS488" s="4"/>
      <c r="ANT488" s="4"/>
      <c r="ANU488" s="4"/>
      <c r="ANV488" s="4"/>
      <c r="ANW488" s="4"/>
      <c r="ANX488" s="4"/>
      <c r="ANY488" s="4"/>
      <c r="ANZ488" s="4"/>
      <c r="AOA488" s="4"/>
      <c r="AOB488" s="4"/>
      <c r="AOC488" s="4"/>
      <c r="AOD488" s="4"/>
      <c r="AOE488" s="4"/>
      <c r="AOF488" s="4"/>
      <c r="AOG488" s="4"/>
      <c r="AOH488" s="4"/>
      <c r="AOI488" s="4"/>
      <c r="AOJ488" s="4"/>
      <c r="AOK488" s="4"/>
      <c r="AOL488" s="4"/>
      <c r="AOM488" s="4"/>
      <c r="AON488" s="4"/>
      <c r="AOO488" s="4"/>
      <c r="AOP488" s="4"/>
      <c r="AOQ488" s="4"/>
      <c r="AOR488" s="4"/>
      <c r="AOS488" s="4"/>
      <c r="AOT488" s="4"/>
      <c r="AOU488" s="4"/>
      <c r="AOV488" s="4"/>
      <c r="AOW488" s="4"/>
      <c r="AOX488" s="4"/>
      <c r="AOY488" s="4"/>
      <c r="AOZ488" s="4"/>
      <c r="APA488" s="4"/>
      <c r="APB488" s="4"/>
      <c r="APC488" s="4"/>
      <c r="APD488" s="4"/>
      <c r="APE488" s="4"/>
      <c r="APF488" s="4"/>
      <c r="APG488" s="4"/>
      <c r="APH488" s="4"/>
      <c r="API488" s="4"/>
      <c r="APJ488" s="4"/>
      <c r="APK488" s="4"/>
      <c r="APL488" s="4"/>
      <c r="APM488" s="4"/>
      <c r="APN488" s="4"/>
      <c r="APO488" s="4"/>
      <c r="APP488" s="4"/>
      <c r="APQ488" s="4"/>
      <c r="APR488" s="4"/>
      <c r="APS488" s="4"/>
      <c r="APT488" s="4"/>
      <c r="APU488" s="4"/>
      <c r="APV488" s="4"/>
      <c r="APW488" s="4"/>
      <c r="APX488" s="4"/>
      <c r="APY488" s="4"/>
      <c r="APZ488" s="4"/>
      <c r="AQA488" s="4"/>
      <c r="AQB488" s="4"/>
      <c r="AQC488" s="4"/>
      <c r="AQD488" s="4"/>
      <c r="AQE488" s="4"/>
      <c r="AQF488" s="4"/>
      <c r="AQG488" s="4"/>
      <c r="AQH488" s="4"/>
      <c r="AQI488" s="4"/>
      <c r="AQJ488" s="4"/>
      <c r="AQK488" s="4"/>
      <c r="AQL488" s="4"/>
      <c r="AQM488" s="4"/>
      <c r="AQN488" s="4"/>
      <c r="AQO488" s="4"/>
      <c r="AQP488" s="4"/>
      <c r="AQQ488" s="4"/>
      <c r="AQR488" s="4"/>
      <c r="AQS488" s="4"/>
      <c r="AQT488" s="4"/>
      <c r="AQU488" s="4"/>
      <c r="AQV488" s="4"/>
      <c r="AQW488" s="4"/>
      <c r="AQX488" s="4"/>
      <c r="AQY488" s="4"/>
      <c r="AQZ488" s="4"/>
      <c r="ARA488" s="4"/>
      <c r="ARB488" s="4"/>
      <c r="ARC488" s="4"/>
      <c r="ARD488" s="4"/>
      <c r="ARE488" s="4"/>
      <c r="ARF488" s="4"/>
      <c r="ARG488" s="4"/>
      <c r="ARH488" s="4"/>
      <c r="ARI488" s="4"/>
      <c r="ARJ488" s="4"/>
      <c r="ARK488" s="4"/>
      <c r="ARL488" s="4"/>
      <c r="ARM488" s="4"/>
      <c r="ARN488" s="4"/>
      <c r="ARO488" s="4"/>
      <c r="ARP488" s="4"/>
      <c r="ARQ488" s="4"/>
      <c r="ARR488" s="4"/>
      <c r="ARS488" s="4"/>
      <c r="ART488" s="4"/>
      <c r="ARU488" s="4"/>
      <c r="ARV488" s="4"/>
      <c r="ARW488" s="4"/>
      <c r="ARX488" s="4"/>
      <c r="ARY488" s="4"/>
      <c r="ARZ488" s="4"/>
      <c r="ASA488" s="4"/>
      <c r="ASB488" s="4"/>
      <c r="ASC488" s="4"/>
      <c r="ASD488" s="4"/>
      <c r="ASE488" s="4"/>
      <c r="ASF488" s="4"/>
      <c r="ASG488" s="4"/>
      <c r="ASH488" s="4"/>
      <c r="ASI488" s="4"/>
      <c r="ASJ488" s="4"/>
      <c r="ASK488" s="4"/>
      <c r="ASL488" s="4"/>
      <c r="ASM488" s="4"/>
      <c r="ASN488" s="4"/>
      <c r="ASO488" s="4"/>
      <c r="ASP488" s="4"/>
      <c r="ASQ488" s="4"/>
      <c r="ASR488" s="4"/>
      <c r="ASS488" s="4"/>
      <c r="AST488" s="4"/>
      <c r="ASU488" s="4"/>
      <c r="ASV488" s="4"/>
      <c r="ASW488" s="4"/>
      <c r="ASX488" s="4"/>
      <c r="ASY488" s="4"/>
      <c r="ASZ488" s="4"/>
      <c r="ATA488" s="4"/>
      <c r="ATB488" s="4"/>
      <c r="ATC488" s="4"/>
      <c r="ATD488" s="4"/>
      <c r="ATE488" s="4"/>
      <c r="ATF488" s="4"/>
      <c r="ATG488" s="4"/>
      <c r="ATH488" s="4"/>
      <c r="ATI488" s="4"/>
      <c r="ATJ488" s="4"/>
      <c r="ATK488" s="4"/>
      <c r="ATL488" s="4"/>
      <c r="ATM488" s="4"/>
      <c r="ATN488" s="4"/>
      <c r="ATO488" s="4"/>
      <c r="ATP488" s="4"/>
      <c r="ATQ488" s="4"/>
      <c r="ATR488" s="4"/>
      <c r="ATS488" s="4"/>
      <c r="ATT488" s="4"/>
      <c r="ATU488" s="4"/>
      <c r="ATV488" s="4"/>
      <c r="ATW488" s="4"/>
      <c r="ATX488" s="4"/>
      <c r="ATY488" s="4"/>
      <c r="ATZ488" s="4"/>
      <c r="AUA488" s="4"/>
      <c r="AUB488" s="4"/>
      <c r="AUC488" s="4"/>
      <c r="AUD488" s="4"/>
      <c r="AUE488" s="4"/>
      <c r="AUF488" s="4"/>
      <c r="AUG488" s="4"/>
      <c r="AUH488" s="4"/>
      <c r="AUI488" s="4"/>
      <c r="AUJ488" s="4"/>
      <c r="AUK488" s="4"/>
      <c r="AUL488" s="4"/>
      <c r="AUM488" s="4"/>
      <c r="AUN488" s="4"/>
      <c r="AUO488" s="4"/>
      <c r="AUP488" s="4"/>
      <c r="AUQ488" s="4"/>
      <c r="AUR488" s="4"/>
      <c r="AUS488" s="4"/>
      <c r="AUT488" s="4"/>
      <c r="AUU488" s="4"/>
      <c r="AUV488" s="4"/>
      <c r="AUW488" s="4"/>
      <c r="AUX488" s="4"/>
      <c r="AUY488" s="4"/>
      <c r="AUZ488" s="4"/>
      <c r="AVA488" s="4"/>
      <c r="AVB488" s="4"/>
      <c r="AVC488" s="4"/>
      <c r="AVD488" s="4"/>
      <c r="AVE488" s="4"/>
      <c r="AVF488" s="4"/>
      <c r="AVG488" s="4"/>
      <c r="AVH488" s="4"/>
      <c r="AVI488" s="4"/>
      <c r="AVJ488" s="4"/>
      <c r="AVK488" s="4"/>
      <c r="AVL488" s="4"/>
      <c r="AVM488" s="4"/>
      <c r="AVN488" s="4"/>
      <c r="AVO488" s="4"/>
      <c r="AVP488" s="4"/>
      <c r="AVQ488" s="4"/>
      <c r="AVR488" s="4"/>
      <c r="AVS488" s="4"/>
      <c r="AVT488" s="4"/>
      <c r="AVU488" s="4"/>
      <c r="AVV488" s="4"/>
      <c r="AVW488" s="4"/>
      <c r="AVX488" s="4"/>
      <c r="AVY488" s="4"/>
      <c r="AVZ488" s="4"/>
      <c r="AWA488" s="4"/>
      <c r="AWB488" s="4"/>
      <c r="AWC488" s="4"/>
      <c r="AWD488" s="4"/>
      <c r="AWE488" s="4"/>
      <c r="AWF488" s="4"/>
      <c r="AWG488" s="4"/>
      <c r="AWH488" s="4"/>
      <c r="AWI488" s="4"/>
      <c r="AWJ488" s="4"/>
      <c r="AWK488" s="4"/>
      <c r="AWL488" s="4"/>
      <c r="AWM488" s="4"/>
      <c r="AWN488" s="4"/>
      <c r="AWO488" s="4"/>
      <c r="AWP488" s="4"/>
      <c r="AWQ488" s="4"/>
      <c r="AWR488" s="4"/>
      <c r="AWS488" s="4"/>
      <c r="AWT488" s="4"/>
      <c r="AWU488" s="4"/>
      <c r="AWV488" s="4"/>
      <c r="AWW488" s="4"/>
      <c r="AWX488" s="4"/>
      <c r="AWY488" s="4"/>
      <c r="AWZ488" s="4"/>
      <c r="AXA488" s="4"/>
      <c r="AXB488" s="4"/>
      <c r="AXC488" s="4"/>
      <c r="AXD488" s="4"/>
      <c r="AXE488" s="4"/>
      <c r="AXF488" s="4"/>
      <c r="AXG488" s="4"/>
      <c r="AXH488" s="4"/>
      <c r="AXI488" s="4"/>
      <c r="AXJ488" s="4"/>
      <c r="AXK488" s="4"/>
      <c r="AXL488" s="4"/>
      <c r="AXM488" s="4"/>
      <c r="AXN488" s="4"/>
      <c r="AXO488" s="4"/>
      <c r="AXP488" s="4"/>
      <c r="AXQ488" s="4"/>
      <c r="AXR488" s="4"/>
      <c r="AXS488" s="4"/>
      <c r="AXT488" s="4"/>
      <c r="AXU488" s="4"/>
      <c r="AXV488" s="4"/>
      <c r="AXW488" s="4"/>
      <c r="AXX488" s="4"/>
      <c r="AXY488" s="4"/>
      <c r="AXZ488" s="4"/>
      <c r="AYA488" s="4"/>
      <c r="AYB488" s="4"/>
      <c r="AYC488" s="4"/>
      <c r="AYD488" s="4"/>
      <c r="AYE488" s="4"/>
      <c r="AYF488" s="4"/>
      <c r="AYG488" s="4"/>
      <c r="AYH488" s="4"/>
      <c r="AYI488" s="4"/>
      <c r="AYJ488" s="4"/>
      <c r="AYK488" s="4"/>
      <c r="AYL488" s="4"/>
      <c r="AYM488" s="4"/>
      <c r="AYN488" s="4"/>
      <c r="AYO488" s="4"/>
      <c r="AYP488" s="4"/>
      <c r="AYQ488" s="4"/>
      <c r="AYR488" s="4"/>
      <c r="AYS488" s="4"/>
      <c r="AYT488" s="4"/>
      <c r="AYU488" s="4"/>
      <c r="AYV488" s="4"/>
      <c r="AYW488" s="4"/>
      <c r="AYX488" s="4"/>
      <c r="AYY488" s="4"/>
      <c r="AYZ488" s="4"/>
      <c r="AZA488" s="4"/>
      <c r="AZB488" s="4"/>
      <c r="AZC488" s="4"/>
      <c r="AZD488" s="4"/>
      <c r="AZE488" s="4"/>
      <c r="AZF488" s="4"/>
      <c r="AZG488" s="4"/>
      <c r="AZH488" s="4"/>
      <c r="AZI488" s="4"/>
      <c r="AZJ488" s="4"/>
      <c r="AZK488" s="4"/>
      <c r="AZL488" s="4"/>
      <c r="AZM488" s="4"/>
      <c r="AZN488" s="4"/>
      <c r="AZO488" s="4"/>
      <c r="AZP488" s="4"/>
      <c r="AZQ488" s="4"/>
      <c r="AZR488" s="4"/>
      <c r="AZS488" s="4"/>
      <c r="AZT488" s="4"/>
      <c r="AZU488" s="4"/>
      <c r="AZV488" s="4"/>
      <c r="AZW488" s="4"/>
      <c r="AZX488" s="4"/>
      <c r="AZY488" s="4"/>
      <c r="AZZ488" s="4"/>
      <c r="BAA488" s="4"/>
      <c r="BAB488" s="4"/>
      <c r="BAC488" s="4"/>
      <c r="BAD488" s="4"/>
      <c r="BAE488" s="4"/>
      <c r="BAF488" s="4"/>
      <c r="BAG488" s="4"/>
      <c r="BAH488" s="4"/>
      <c r="BAI488" s="4"/>
      <c r="BAJ488" s="4"/>
      <c r="BAK488" s="4"/>
      <c r="BAL488" s="4"/>
      <c r="BAM488" s="4"/>
      <c r="BAN488" s="4"/>
      <c r="BAO488" s="4"/>
      <c r="BAP488" s="4"/>
      <c r="BAQ488" s="4"/>
      <c r="BAR488" s="4"/>
      <c r="BAS488" s="4"/>
      <c r="BAT488" s="4"/>
      <c r="BAU488" s="4"/>
      <c r="BAV488" s="4"/>
      <c r="BAW488" s="4"/>
      <c r="BAX488" s="4"/>
      <c r="BAY488" s="4"/>
      <c r="BAZ488" s="4"/>
      <c r="BBA488" s="4"/>
      <c r="BBB488" s="4"/>
      <c r="BBC488" s="4"/>
      <c r="BBD488" s="4"/>
      <c r="BBE488" s="4"/>
      <c r="BBF488" s="4"/>
      <c r="BBG488" s="4"/>
      <c r="BBH488" s="4"/>
      <c r="BBI488" s="4"/>
      <c r="BBJ488" s="4"/>
      <c r="BBK488" s="4"/>
      <c r="BBL488" s="4"/>
      <c r="BBM488" s="4"/>
      <c r="BBN488" s="4"/>
      <c r="BBO488" s="4"/>
      <c r="BBP488" s="4"/>
      <c r="BBQ488" s="4"/>
      <c r="BBR488" s="4"/>
      <c r="BBS488" s="4"/>
      <c r="BBT488" s="4"/>
      <c r="BBU488" s="4"/>
      <c r="BBV488" s="4"/>
      <c r="BBW488" s="4"/>
      <c r="BBX488" s="4"/>
      <c r="BBY488" s="4"/>
      <c r="BBZ488" s="4"/>
      <c r="BCA488" s="4"/>
      <c r="BCB488" s="4"/>
      <c r="BCC488" s="4"/>
      <c r="BCD488" s="4"/>
      <c r="BCE488" s="4"/>
      <c r="BCF488" s="4"/>
      <c r="BCG488" s="4"/>
      <c r="BCH488" s="4"/>
      <c r="BCI488" s="4"/>
      <c r="BCJ488" s="4"/>
      <c r="BCK488" s="4"/>
      <c r="BCL488" s="4"/>
      <c r="BCM488" s="4"/>
      <c r="BCN488" s="4"/>
      <c r="BCO488" s="4"/>
      <c r="BCP488" s="4"/>
      <c r="BCQ488" s="4"/>
      <c r="BCR488" s="4"/>
      <c r="BCS488" s="4"/>
      <c r="BCT488" s="4"/>
      <c r="BCU488" s="4"/>
      <c r="BCV488" s="4"/>
      <c r="BCW488" s="4"/>
      <c r="BCX488" s="4"/>
      <c r="BCY488" s="4"/>
      <c r="BCZ488" s="4"/>
      <c r="BDA488" s="4"/>
      <c r="BDB488" s="4"/>
      <c r="BDC488" s="4"/>
      <c r="BDD488" s="4"/>
      <c r="BDE488" s="4"/>
      <c r="BDF488" s="4"/>
      <c r="BDG488" s="4"/>
      <c r="BDH488" s="4"/>
      <c r="BDI488" s="4"/>
      <c r="BDJ488" s="4"/>
      <c r="BDK488" s="4"/>
      <c r="BDL488" s="4"/>
      <c r="BDM488" s="4"/>
      <c r="BDN488" s="4"/>
      <c r="BDO488" s="4"/>
      <c r="BDP488" s="4"/>
      <c r="BDQ488" s="4"/>
      <c r="BDR488" s="4"/>
      <c r="BDS488" s="4"/>
      <c r="BDT488" s="4"/>
      <c r="BDU488" s="4"/>
      <c r="BDV488" s="4"/>
      <c r="BDW488" s="4"/>
      <c r="BDX488" s="4"/>
      <c r="BDY488" s="4"/>
      <c r="BDZ488" s="4"/>
      <c r="BEA488" s="4"/>
      <c r="BEB488" s="4"/>
      <c r="BEC488" s="4"/>
      <c r="BED488" s="4"/>
      <c r="BEE488" s="4"/>
      <c r="BEF488" s="4"/>
      <c r="BEG488" s="4"/>
      <c r="BEH488" s="4"/>
      <c r="BEI488" s="4"/>
      <c r="BEJ488" s="4"/>
      <c r="BEK488" s="4"/>
      <c r="BEL488" s="4"/>
      <c r="BEM488" s="4"/>
      <c r="BEN488" s="4"/>
      <c r="BEO488" s="4"/>
      <c r="BEP488" s="4"/>
      <c r="BEQ488" s="4"/>
      <c r="BER488" s="4"/>
      <c r="BES488" s="4"/>
      <c r="BET488" s="4"/>
      <c r="BEU488" s="4"/>
      <c r="BEV488" s="4"/>
      <c r="BEW488" s="4"/>
      <c r="BEX488" s="4"/>
      <c r="BEY488" s="4"/>
      <c r="BEZ488" s="4"/>
      <c r="BFA488" s="4"/>
      <c r="BFB488" s="4"/>
      <c r="BFC488" s="4"/>
      <c r="BFD488" s="4"/>
      <c r="BFE488" s="4"/>
      <c r="BFF488" s="4"/>
      <c r="BFG488" s="4"/>
      <c r="BFH488" s="4"/>
      <c r="BFI488" s="4"/>
      <c r="BFJ488" s="4"/>
      <c r="BFK488" s="4"/>
      <c r="BFL488" s="4"/>
      <c r="BFM488" s="4"/>
      <c r="BFN488" s="4"/>
      <c r="BFO488" s="4"/>
      <c r="BFP488" s="4"/>
      <c r="BFQ488" s="4"/>
      <c r="BFR488" s="4"/>
      <c r="BFS488" s="4"/>
      <c r="BFT488" s="4"/>
      <c r="BFU488" s="4"/>
      <c r="BFV488" s="4"/>
      <c r="BFW488" s="4"/>
      <c r="BFX488" s="4"/>
      <c r="BFY488" s="4"/>
      <c r="BFZ488" s="4"/>
      <c r="BGA488" s="4"/>
      <c r="BGB488" s="4"/>
      <c r="BGC488" s="4"/>
      <c r="BGD488" s="4"/>
      <c r="BGE488" s="4"/>
      <c r="BGF488" s="4"/>
      <c r="BGG488" s="4"/>
      <c r="BGH488" s="4"/>
      <c r="BGI488" s="4"/>
      <c r="BGJ488" s="4"/>
      <c r="BGK488" s="4"/>
      <c r="BGL488" s="4"/>
      <c r="BGM488" s="4"/>
      <c r="BGN488" s="4"/>
      <c r="BGO488" s="4"/>
      <c r="BGP488" s="4"/>
      <c r="BGQ488" s="4"/>
      <c r="BGR488" s="4"/>
      <c r="BGS488" s="4"/>
      <c r="BGT488" s="4"/>
      <c r="BGU488" s="4"/>
      <c r="BGV488" s="4"/>
      <c r="BGW488" s="4"/>
      <c r="BGX488" s="4"/>
      <c r="BGY488" s="4"/>
      <c r="BGZ488" s="4"/>
      <c r="BHA488" s="4"/>
      <c r="BHB488" s="4"/>
      <c r="BHC488" s="4"/>
      <c r="BHD488" s="4"/>
      <c r="BHE488" s="4"/>
      <c r="BHF488" s="4"/>
      <c r="BHG488" s="4"/>
      <c r="BHH488" s="4"/>
      <c r="BHI488" s="4"/>
      <c r="BHJ488" s="4"/>
      <c r="BHK488" s="4"/>
      <c r="BHL488" s="4"/>
      <c r="BHM488" s="4"/>
      <c r="BHN488" s="4"/>
      <c r="BHO488" s="4"/>
      <c r="BHP488" s="4"/>
      <c r="BHQ488" s="4"/>
      <c r="BHR488" s="4"/>
      <c r="BHS488" s="4"/>
      <c r="BHT488" s="4"/>
      <c r="BHU488" s="4"/>
      <c r="BHV488" s="4"/>
      <c r="BHW488" s="4"/>
      <c r="BHX488" s="4"/>
      <c r="BHY488" s="4"/>
      <c r="BHZ488" s="4"/>
      <c r="BIA488" s="4"/>
      <c r="BIB488" s="4"/>
      <c r="BIC488" s="4"/>
      <c r="BID488" s="4"/>
      <c r="BIE488" s="4"/>
      <c r="BIF488" s="4"/>
      <c r="BIG488" s="4"/>
      <c r="BIH488" s="4"/>
      <c r="BII488" s="4"/>
      <c r="BIJ488" s="4"/>
      <c r="BIK488" s="4"/>
      <c r="BIL488" s="4"/>
      <c r="BIM488" s="4"/>
      <c r="BIN488" s="4"/>
      <c r="BIO488" s="4"/>
      <c r="BIP488" s="4"/>
      <c r="BIQ488" s="4"/>
      <c r="BIR488" s="4"/>
      <c r="BIS488" s="4"/>
      <c r="BIT488" s="4"/>
      <c r="BIU488" s="4"/>
      <c r="BIV488" s="4"/>
      <c r="BIW488" s="4"/>
      <c r="BIX488" s="4"/>
      <c r="BIY488" s="4"/>
      <c r="BIZ488" s="4"/>
      <c r="BJA488" s="4"/>
      <c r="BJB488" s="4"/>
      <c r="BJC488" s="4"/>
      <c r="BJD488" s="4"/>
      <c r="BJE488" s="4"/>
      <c r="BJF488" s="4"/>
      <c r="BJG488" s="4"/>
      <c r="BJH488" s="4"/>
      <c r="BJI488" s="4"/>
      <c r="BJJ488" s="4"/>
      <c r="BJK488" s="4"/>
      <c r="BJL488" s="4"/>
      <c r="BJM488" s="4"/>
      <c r="BJN488" s="4"/>
      <c r="BJO488" s="4"/>
      <c r="BJP488" s="4"/>
      <c r="BJQ488" s="4"/>
      <c r="BJR488" s="4"/>
      <c r="BJS488" s="4"/>
      <c r="BJT488" s="4"/>
      <c r="BJU488" s="4"/>
      <c r="BJV488" s="4"/>
      <c r="BJW488" s="4"/>
      <c r="BJX488" s="4"/>
      <c r="BJY488" s="4"/>
      <c r="BJZ488" s="4"/>
      <c r="BKA488" s="4"/>
      <c r="BKB488" s="4"/>
      <c r="BKC488" s="4"/>
      <c r="BKD488" s="4"/>
      <c r="BKE488" s="4"/>
      <c r="BKF488" s="4"/>
      <c r="BKG488" s="4"/>
      <c r="BKH488" s="4"/>
      <c r="BKI488" s="4"/>
      <c r="BKJ488" s="4"/>
      <c r="BKK488" s="4"/>
      <c r="BKL488" s="4"/>
      <c r="BKM488" s="4"/>
      <c r="BKN488" s="4"/>
      <c r="BKO488" s="4"/>
      <c r="BKP488" s="4"/>
      <c r="BKQ488" s="4"/>
      <c r="BKR488" s="4"/>
      <c r="BKS488" s="4"/>
      <c r="BKT488" s="4"/>
      <c r="BKU488" s="4"/>
      <c r="BKV488" s="4"/>
      <c r="BKW488" s="4"/>
      <c r="BKX488" s="4"/>
      <c r="BKY488" s="4"/>
      <c r="BKZ488" s="4"/>
      <c r="BLA488" s="4"/>
      <c r="BLB488" s="4"/>
      <c r="BLC488" s="4"/>
      <c r="BLD488" s="4"/>
      <c r="BLE488" s="4"/>
      <c r="BLF488" s="4"/>
      <c r="BLG488" s="4"/>
      <c r="BLH488" s="4"/>
      <c r="BLI488" s="4"/>
      <c r="BLJ488" s="4"/>
      <c r="BLK488" s="4"/>
      <c r="BLL488" s="4"/>
      <c r="BLM488" s="4"/>
      <c r="BLN488" s="4"/>
      <c r="BLO488" s="4"/>
      <c r="BLP488" s="4"/>
      <c r="BLQ488" s="4"/>
      <c r="BLR488" s="4"/>
      <c r="BLS488" s="4"/>
      <c r="BLT488" s="4"/>
      <c r="BLU488" s="4"/>
      <c r="BLV488" s="4"/>
      <c r="BLW488" s="4"/>
      <c r="BLX488" s="4"/>
      <c r="BLY488" s="4"/>
      <c r="BLZ488" s="4"/>
      <c r="BMA488" s="4"/>
      <c r="BMB488" s="4"/>
      <c r="BMC488" s="4"/>
      <c r="BMD488" s="4"/>
      <c r="BME488" s="4"/>
      <c r="BMF488" s="4"/>
      <c r="BMG488" s="4"/>
      <c r="BMH488" s="4"/>
      <c r="BMI488" s="4"/>
      <c r="BMJ488" s="4"/>
      <c r="BMK488" s="4"/>
      <c r="BML488" s="4"/>
      <c r="BMM488" s="4"/>
      <c r="BMN488" s="4"/>
      <c r="BMO488" s="4"/>
      <c r="BMP488" s="4"/>
      <c r="BMQ488" s="4"/>
      <c r="BMR488" s="4"/>
      <c r="BMS488" s="4"/>
      <c r="BMT488" s="4"/>
      <c r="BMU488" s="4"/>
      <c r="BMV488" s="4"/>
      <c r="BMW488" s="4"/>
      <c r="BMX488" s="4"/>
      <c r="BMY488" s="4"/>
      <c r="BMZ488" s="4"/>
      <c r="BNA488" s="4"/>
      <c r="BNB488" s="4"/>
      <c r="BNC488" s="4"/>
      <c r="BND488" s="4"/>
      <c r="BNE488" s="4"/>
      <c r="BNF488" s="4"/>
      <c r="BNG488" s="4"/>
      <c r="BNH488" s="4"/>
      <c r="BNI488" s="4"/>
      <c r="BNJ488" s="4"/>
      <c r="BNK488" s="4"/>
      <c r="BNL488" s="4"/>
      <c r="BNM488" s="4"/>
      <c r="BNN488" s="4"/>
      <c r="BNO488" s="4"/>
      <c r="BNP488" s="4"/>
      <c r="BNQ488" s="4"/>
      <c r="BNR488" s="4"/>
      <c r="BNS488" s="4"/>
      <c r="BNT488" s="4"/>
      <c r="BNU488" s="4"/>
      <c r="BNV488" s="4"/>
      <c r="BNW488" s="4"/>
      <c r="BNX488" s="4"/>
      <c r="BNY488" s="4"/>
      <c r="BNZ488" s="4"/>
      <c r="BOA488" s="4"/>
      <c r="BOB488" s="4"/>
      <c r="BOC488" s="4"/>
      <c r="BOD488" s="4"/>
      <c r="BOE488" s="4"/>
      <c r="BOF488" s="4"/>
      <c r="BOG488" s="4"/>
      <c r="BOH488" s="4"/>
      <c r="BOI488" s="4"/>
      <c r="BOJ488" s="4"/>
      <c r="BOK488" s="4"/>
      <c r="BOL488" s="4"/>
      <c r="BOM488" s="4"/>
      <c r="BON488" s="4"/>
      <c r="BOO488" s="4"/>
      <c r="BOP488" s="4"/>
      <c r="BOQ488" s="4"/>
      <c r="BOR488" s="4"/>
      <c r="BOS488" s="4"/>
      <c r="BOT488" s="4"/>
      <c r="BOU488" s="4"/>
      <c r="BOV488" s="4"/>
      <c r="BOW488" s="4"/>
      <c r="BOX488" s="4"/>
      <c r="BOY488" s="4"/>
      <c r="BOZ488" s="4"/>
      <c r="BPA488" s="4"/>
      <c r="BPB488" s="4"/>
      <c r="BPC488" s="4"/>
      <c r="BPD488" s="4"/>
      <c r="BPE488" s="4"/>
      <c r="BPF488" s="4"/>
      <c r="BPG488" s="4"/>
      <c r="BPH488" s="4"/>
      <c r="BPI488" s="4"/>
      <c r="BPJ488" s="4"/>
      <c r="BPK488" s="4"/>
      <c r="BPL488" s="4"/>
      <c r="BPM488" s="4"/>
      <c r="BPN488" s="4"/>
      <c r="BPO488" s="4"/>
      <c r="BPP488" s="4"/>
      <c r="BPQ488" s="4"/>
      <c r="BPR488" s="4"/>
      <c r="BPS488" s="4"/>
      <c r="BPT488" s="4"/>
      <c r="BPU488" s="4"/>
      <c r="BPV488" s="4"/>
      <c r="BPW488" s="4"/>
      <c r="BPX488" s="4"/>
      <c r="BPY488" s="4"/>
      <c r="BPZ488" s="4"/>
      <c r="BQA488" s="4"/>
      <c r="BQB488" s="4"/>
      <c r="BQC488" s="4"/>
      <c r="BQD488" s="4"/>
      <c r="BQE488" s="4"/>
      <c r="BQF488" s="4"/>
      <c r="BQG488" s="4"/>
      <c r="BQH488" s="4"/>
      <c r="BQI488" s="4"/>
      <c r="BQJ488" s="4"/>
      <c r="BQK488" s="4"/>
      <c r="BQL488" s="4"/>
      <c r="BQM488" s="4"/>
      <c r="BQN488" s="4"/>
      <c r="BQO488" s="4"/>
      <c r="BQP488" s="4"/>
      <c r="BQQ488" s="4"/>
      <c r="BQR488" s="4"/>
      <c r="BQS488" s="4"/>
      <c r="BQT488" s="4"/>
      <c r="BQU488" s="4"/>
      <c r="BQV488" s="4"/>
      <c r="BQW488" s="4"/>
      <c r="BQX488" s="4"/>
      <c r="BQY488" s="4"/>
      <c r="BQZ488" s="4"/>
      <c r="BRA488" s="4"/>
      <c r="BRB488" s="4"/>
      <c r="BRC488" s="4"/>
      <c r="BRD488" s="4"/>
      <c r="BRE488" s="4"/>
      <c r="BRF488" s="4"/>
      <c r="BRG488" s="4"/>
      <c r="BRH488" s="4"/>
      <c r="BRI488" s="4"/>
      <c r="BRJ488" s="4"/>
      <c r="BRK488" s="4"/>
      <c r="BRL488" s="4"/>
      <c r="BRM488" s="4"/>
      <c r="BRN488" s="4"/>
      <c r="BRO488" s="4"/>
      <c r="BRP488" s="4"/>
      <c r="BRQ488" s="4"/>
      <c r="BRR488" s="4"/>
      <c r="BRS488" s="4"/>
      <c r="BRT488" s="4"/>
      <c r="BRU488" s="4"/>
      <c r="BRV488" s="4"/>
      <c r="BRW488" s="4"/>
      <c r="BRX488" s="4"/>
      <c r="BRY488" s="4"/>
      <c r="BRZ488" s="4"/>
      <c r="BSA488" s="4"/>
      <c r="BSB488" s="4"/>
      <c r="BSC488" s="4"/>
      <c r="BSD488" s="4"/>
      <c r="BSE488" s="4"/>
      <c r="BSF488" s="4"/>
      <c r="BSG488" s="4"/>
      <c r="BSH488" s="4"/>
      <c r="BSI488" s="4"/>
      <c r="BSJ488" s="4"/>
      <c r="BSK488" s="4"/>
      <c r="BSL488" s="4"/>
      <c r="BSM488" s="4"/>
      <c r="BSN488" s="4"/>
      <c r="BSO488" s="4"/>
      <c r="BSP488" s="4"/>
      <c r="BSQ488" s="4"/>
      <c r="BSR488" s="4"/>
      <c r="BSS488" s="4"/>
      <c r="BST488" s="4"/>
      <c r="BSU488" s="4"/>
      <c r="BSV488" s="4"/>
      <c r="BSW488" s="4"/>
      <c r="BSX488" s="4"/>
      <c r="BSY488" s="4"/>
      <c r="BSZ488" s="4"/>
      <c r="BTA488" s="4"/>
      <c r="BTB488" s="4"/>
      <c r="BTC488" s="4"/>
      <c r="BTD488" s="4"/>
      <c r="BTE488" s="4"/>
      <c r="BTF488" s="4"/>
      <c r="BTG488" s="4"/>
      <c r="BTH488" s="4"/>
      <c r="BTI488" s="4"/>
      <c r="BTJ488" s="4"/>
      <c r="BTK488" s="4"/>
      <c r="BTL488" s="4"/>
      <c r="BTM488" s="4"/>
      <c r="BTN488" s="4"/>
      <c r="BTO488" s="4"/>
      <c r="BTP488" s="4"/>
      <c r="BTQ488" s="4"/>
      <c r="BTR488" s="4"/>
      <c r="BTS488" s="4"/>
      <c r="BTT488" s="4"/>
      <c r="BTU488" s="4"/>
      <c r="BTV488" s="4"/>
      <c r="BTW488" s="4"/>
      <c r="BTX488" s="4"/>
      <c r="BTY488" s="4"/>
      <c r="BTZ488" s="4"/>
      <c r="BUA488" s="4"/>
      <c r="BUB488" s="4"/>
      <c r="BUC488" s="4"/>
      <c r="BUD488" s="4"/>
      <c r="BUE488" s="4"/>
      <c r="BUF488" s="4"/>
      <c r="BUG488" s="4"/>
      <c r="BUH488" s="4"/>
      <c r="BUI488" s="4"/>
      <c r="BUJ488" s="4"/>
      <c r="BUK488" s="4"/>
      <c r="BUL488" s="4"/>
      <c r="BUM488" s="4"/>
      <c r="BUN488" s="4"/>
      <c r="BUO488" s="4"/>
      <c r="BUP488" s="4"/>
      <c r="BUQ488" s="4"/>
      <c r="BUR488" s="4"/>
      <c r="BUS488" s="4"/>
      <c r="BUT488" s="4"/>
      <c r="BUU488" s="4"/>
      <c r="BUV488" s="4"/>
      <c r="BUW488" s="4"/>
      <c r="BUX488" s="4"/>
      <c r="BUY488" s="4"/>
      <c r="BUZ488" s="4"/>
      <c r="BVA488" s="4"/>
      <c r="BVB488" s="4"/>
      <c r="BVC488" s="4"/>
      <c r="BVD488" s="4"/>
      <c r="BVE488" s="4"/>
      <c r="BVF488" s="4"/>
      <c r="BVG488" s="4"/>
      <c r="BVH488" s="4"/>
      <c r="BVI488" s="4"/>
      <c r="BVJ488" s="4"/>
      <c r="BVK488" s="4"/>
      <c r="BVL488" s="4"/>
      <c r="BVM488" s="4"/>
      <c r="BVN488" s="4"/>
      <c r="BVO488" s="4"/>
      <c r="BVP488" s="4"/>
      <c r="BVQ488" s="4"/>
      <c r="BVR488" s="4"/>
      <c r="BVS488" s="4"/>
      <c r="BVT488" s="4"/>
      <c r="BVU488" s="4"/>
      <c r="BVV488" s="4"/>
      <c r="BVW488" s="4"/>
      <c r="BVX488" s="4"/>
      <c r="BVY488" s="4"/>
      <c r="BVZ488" s="4"/>
      <c r="BWA488" s="4"/>
      <c r="BWB488" s="4"/>
      <c r="BWC488" s="4"/>
      <c r="BWD488" s="4"/>
      <c r="BWE488" s="4"/>
      <c r="BWF488" s="4"/>
      <c r="BWG488" s="4"/>
      <c r="BWH488" s="4"/>
      <c r="BWI488" s="4"/>
      <c r="BWJ488" s="4"/>
      <c r="BWK488" s="4"/>
      <c r="BWL488" s="4"/>
      <c r="BWM488" s="4"/>
      <c r="BWN488" s="4"/>
      <c r="BWO488" s="4"/>
      <c r="BWP488" s="4"/>
      <c r="BWQ488" s="4"/>
      <c r="BWR488" s="4"/>
      <c r="BWS488" s="4"/>
      <c r="BWT488" s="4"/>
      <c r="BWU488" s="4"/>
      <c r="BWV488" s="4"/>
      <c r="BWW488" s="4"/>
      <c r="BWX488" s="4"/>
      <c r="BWY488" s="4"/>
      <c r="BWZ488" s="4"/>
      <c r="BXA488" s="4"/>
      <c r="BXB488" s="4"/>
      <c r="BXC488" s="4"/>
      <c r="BXD488" s="4"/>
      <c r="BXE488" s="4"/>
      <c r="BXF488" s="4"/>
      <c r="BXG488" s="4"/>
      <c r="BXH488" s="4"/>
      <c r="BXI488" s="4"/>
      <c r="BXJ488" s="4"/>
      <c r="BXK488" s="4"/>
      <c r="BXL488" s="4"/>
      <c r="BXM488" s="4"/>
      <c r="BXN488" s="4"/>
      <c r="BXO488" s="4"/>
      <c r="BXP488" s="4"/>
      <c r="BXQ488" s="4"/>
      <c r="BXR488" s="4"/>
      <c r="BXS488" s="4"/>
      <c r="BXT488" s="4"/>
      <c r="BXU488" s="4"/>
      <c r="BXV488" s="4"/>
      <c r="BXW488" s="4"/>
      <c r="BXX488" s="4"/>
      <c r="BXY488" s="4"/>
      <c r="BXZ488" s="4"/>
      <c r="BYA488" s="4"/>
      <c r="BYB488" s="4"/>
      <c r="BYC488" s="4"/>
      <c r="BYD488" s="4"/>
      <c r="BYE488" s="4"/>
      <c r="BYF488" s="4"/>
      <c r="BYG488" s="4"/>
      <c r="BYH488" s="4"/>
      <c r="BYI488" s="4"/>
      <c r="BYJ488" s="4"/>
      <c r="BYK488" s="4"/>
      <c r="BYL488" s="4"/>
      <c r="BYM488" s="4"/>
      <c r="BYN488" s="4"/>
      <c r="BYO488" s="4"/>
      <c r="BYP488" s="4"/>
      <c r="BYQ488" s="4"/>
      <c r="BYR488" s="4"/>
      <c r="BYS488" s="4"/>
      <c r="BYT488" s="4"/>
      <c r="BYU488" s="4"/>
      <c r="BYV488" s="4"/>
      <c r="BYW488" s="4"/>
      <c r="BYX488" s="4"/>
      <c r="BYY488" s="4"/>
      <c r="BYZ488" s="4"/>
      <c r="BZA488" s="4"/>
      <c r="BZB488" s="4"/>
      <c r="BZC488" s="4"/>
      <c r="BZD488" s="4"/>
      <c r="BZE488" s="4"/>
      <c r="BZF488" s="4"/>
      <c r="BZG488" s="4"/>
      <c r="BZH488" s="4"/>
      <c r="BZI488" s="4"/>
      <c r="BZJ488" s="4"/>
      <c r="BZK488" s="4"/>
      <c r="BZL488" s="4"/>
      <c r="BZM488" s="4"/>
      <c r="BZN488" s="4"/>
      <c r="BZO488" s="4"/>
      <c r="BZP488" s="4"/>
      <c r="BZQ488" s="4"/>
      <c r="BZR488" s="4"/>
      <c r="BZS488" s="4"/>
      <c r="BZT488" s="4"/>
      <c r="BZU488" s="4"/>
      <c r="BZV488" s="4"/>
      <c r="BZW488" s="4"/>
      <c r="BZX488" s="4"/>
      <c r="BZY488" s="4"/>
      <c r="BZZ488" s="4"/>
      <c r="CAA488" s="4"/>
      <c r="CAB488" s="4"/>
      <c r="CAC488" s="4"/>
      <c r="CAD488" s="4"/>
      <c r="CAE488" s="4"/>
      <c r="CAF488" s="4"/>
      <c r="CAG488" s="4"/>
      <c r="CAH488" s="4"/>
      <c r="CAI488" s="4"/>
      <c r="CAJ488" s="4"/>
      <c r="CAK488" s="4"/>
      <c r="CAL488" s="4"/>
      <c r="CAM488" s="4"/>
      <c r="CAN488" s="4"/>
      <c r="CAO488" s="4"/>
      <c r="CAP488" s="4"/>
      <c r="CAQ488" s="4"/>
      <c r="CAR488" s="4"/>
      <c r="CAS488" s="4"/>
      <c r="CAT488" s="4"/>
      <c r="CAU488" s="4"/>
      <c r="CAV488" s="4"/>
      <c r="CAW488" s="4"/>
      <c r="CAX488" s="4"/>
      <c r="CAY488" s="4"/>
      <c r="CAZ488" s="4"/>
      <c r="CBA488" s="4"/>
      <c r="CBB488" s="4"/>
      <c r="CBC488" s="4"/>
      <c r="CBD488" s="4"/>
      <c r="CBE488" s="4"/>
      <c r="CBF488" s="4"/>
      <c r="CBG488" s="4"/>
      <c r="CBH488" s="4"/>
      <c r="CBI488" s="4"/>
      <c r="CBJ488" s="4"/>
      <c r="CBK488" s="4"/>
      <c r="CBL488" s="4"/>
      <c r="CBM488" s="4"/>
      <c r="CBN488" s="4"/>
      <c r="CBO488" s="4"/>
      <c r="CBP488" s="4"/>
      <c r="CBQ488" s="4"/>
      <c r="CBR488" s="4"/>
      <c r="CBS488" s="4"/>
      <c r="CBT488" s="4"/>
      <c r="CBU488" s="4"/>
      <c r="CBV488" s="4"/>
      <c r="CBW488" s="4"/>
      <c r="CBX488" s="4"/>
      <c r="CBY488" s="4"/>
      <c r="CBZ488" s="4"/>
      <c r="CCA488" s="4"/>
      <c r="CCB488" s="4"/>
      <c r="CCC488" s="4"/>
      <c r="CCD488" s="4"/>
      <c r="CCE488" s="4"/>
      <c r="CCF488" s="4"/>
      <c r="CCG488" s="4"/>
      <c r="CCH488" s="4"/>
      <c r="CCI488" s="4"/>
      <c r="CCJ488" s="4"/>
      <c r="CCK488" s="4"/>
      <c r="CCL488" s="4"/>
      <c r="CCM488" s="4"/>
      <c r="CCN488" s="4"/>
      <c r="CCO488" s="4"/>
      <c r="CCP488" s="4"/>
      <c r="CCQ488" s="4"/>
      <c r="CCR488" s="4"/>
      <c r="CCS488" s="4"/>
      <c r="CCT488" s="4"/>
      <c r="CCU488" s="4"/>
      <c r="CCV488" s="4"/>
      <c r="CCW488" s="4"/>
      <c r="CCX488" s="4"/>
      <c r="CCY488" s="4"/>
      <c r="CCZ488" s="4"/>
      <c r="CDA488" s="4"/>
      <c r="CDB488" s="4"/>
      <c r="CDC488" s="4"/>
      <c r="CDD488" s="4"/>
      <c r="CDE488" s="4"/>
      <c r="CDF488" s="4"/>
      <c r="CDG488" s="4"/>
      <c r="CDH488" s="4"/>
      <c r="CDI488" s="4"/>
      <c r="CDJ488" s="4"/>
      <c r="CDK488" s="4"/>
      <c r="CDL488" s="4"/>
      <c r="CDM488" s="4"/>
      <c r="CDN488" s="4"/>
      <c r="CDO488" s="4"/>
      <c r="CDP488" s="4"/>
      <c r="CDQ488" s="4"/>
      <c r="CDR488" s="4"/>
      <c r="CDS488" s="4"/>
      <c r="CDT488" s="4"/>
      <c r="CDU488" s="4"/>
      <c r="CDV488" s="4"/>
      <c r="CDW488" s="4"/>
      <c r="CDX488" s="4"/>
      <c r="CDY488" s="4"/>
      <c r="CDZ488" s="4"/>
      <c r="CEA488" s="4"/>
      <c r="CEB488" s="4"/>
      <c r="CEC488" s="4"/>
      <c r="CED488" s="4"/>
      <c r="CEE488" s="4"/>
      <c r="CEF488" s="4"/>
      <c r="CEG488" s="4"/>
      <c r="CEH488" s="4"/>
      <c r="CEI488" s="4"/>
      <c r="CEJ488" s="4"/>
      <c r="CEK488" s="4"/>
      <c r="CEL488" s="4"/>
      <c r="CEM488" s="4"/>
      <c r="CEN488" s="4"/>
      <c r="CEO488" s="4"/>
      <c r="CEP488" s="4"/>
      <c r="CEQ488" s="4"/>
      <c r="CER488" s="4"/>
      <c r="CES488" s="4"/>
      <c r="CET488" s="4"/>
      <c r="CEU488" s="4"/>
      <c r="CEV488" s="4"/>
      <c r="CEW488" s="4"/>
      <c r="CEX488" s="4"/>
      <c r="CEY488" s="4"/>
      <c r="CEZ488" s="4"/>
      <c r="CFA488" s="4"/>
      <c r="CFB488" s="4"/>
      <c r="CFC488" s="4"/>
      <c r="CFD488" s="4"/>
      <c r="CFE488" s="4"/>
      <c r="CFF488" s="4"/>
      <c r="CFG488" s="4"/>
      <c r="CFH488" s="4"/>
      <c r="CFI488" s="4"/>
      <c r="CFJ488" s="4"/>
      <c r="CFK488" s="4"/>
      <c r="CFL488" s="4"/>
      <c r="CFM488" s="4"/>
      <c r="CFN488" s="4"/>
      <c r="CFO488" s="4"/>
      <c r="CFP488" s="4"/>
      <c r="CFQ488" s="4"/>
      <c r="CFR488" s="4"/>
      <c r="CFS488" s="4"/>
      <c r="CFT488" s="4"/>
      <c r="CFU488" s="4"/>
      <c r="CFV488" s="4"/>
      <c r="CFW488" s="4"/>
      <c r="CFX488" s="4"/>
      <c r="CFY488" s="4"/>
      <c r="CFZ488" s="4"/>
      <c r="CGA488" s="4"/>
      <c r="CGB488" s="4"/>
      <c r="CGC488" s="4"/>
      <c r="CGD488" s="4"/>
      <c r="CGE488" s="4"/>
      <c r="CGF488" s="4"/>
      <c r="CGG488" s="4"/>
      <c r="CGH488" s="4"/>
      <c r="CGI488" s="4"/>
      <c r="CGJ488" s="4"/>
      <c r="CGK488" s="4"/>
      <c r="CGL488" s="4"/>
      <c r="CGM488" s="4"/>
      <c r="CGN488" s="4"/>
      <c r="CGO488" s="4"/>
      <c r="CGP488" s="4"/>
      <c r="CGQ488" s="4"/>
      <c r="CGR488" s="4"/>
      <c r="CGS488" s="4"/>
      <c r="CGT488" s="4"/>
      <c r="CGU488" s="4"/>
      <c r="CGV488" s="4"/>
      <c r="CGW488" s="4"/>
      <c r="CGX488" s="4"/>
      <c r="CGY488" s="4"/>
      <c r="CGZ488" s="4"/>
      <c r="CHA488" s="4"/>
      <c r="CHB488" s="4"/>
      <c r="CHC488" s="4"/>
      <c r="CHD488" s="4"/>
      <c r="CHE488" s="4"/>
      <c r="CHF488" s="4"/>
      <c r="CHG488" s="4"/>
      <c r="CHH488" s="4"/>
      <c r="CHI488" s="4"/>
      <c r="CHJ488" s="4"/>
      <c r="CHK488" s="4"/>
      <c r="CHL488" s="4"/>
      <c r="CHM488" s="4"/>
      <c r="CHN488" s="4"/>
      <c r="CHO488" s="4"/>
      <c r="CHP488" s="4"/>
      <c r="CHQ488" s="4"/>
      <c r="CHR488" s="4"/>
      <c r="CHS488" s="4"/>
      <c r="CHT488" s="4"/>
      <c r="CHU488" s="4"/>
      <c r="CHV488" s="4"/>
      <c r="CHW488" s="4"/>
      <c r="CHX488" s="4"/>
      <c r="CHY488" s="4"/>
      <c r="CHZ488" s="4"/>
      <c r="CIA488" s="4"/>
      <c r="CIB488" s="4"/>
      <c r="CIC488" s="4"/>
      <c r="CID488" s="4"/>
      <c r="CIE488" s="4"/>
      <c r="CIF488" s="4"/>
      <c r="CIG488" s="4"/>
      <c r="CIH488" s="4"/>
      <c r="CII488" s="4"/>
      <c r="CIJ488" s="4"/>
      <c r="CIK488" s="4"/>
      <c r="CIL488" s="4"/>
      <c r="CIM488" s="4"/>
      <c r="CIN488" s="4"/>
      <c r="CIO488" s="4"/>
      <c r="CIP488" s="4"/>
      <c r="CIQ488" s="4"/>
      <c r="CIR488" s="4"/>
      <c r="CIS488" s="4"/>
      <c r="CIT488" s="4"/>
      <c r="CIU488" s="4"/>
      <c r="CIV488" s="4"/>
      <c r="CIW488" s="4"/>
      <c r="CIX488" s="4"/>
      <c r="CIY488" s="4"/>
      <c r="CIZ488" s="4"/>
      <c r="CJA488" s="4"/>
      <c r="CJB488" s="4"/>
      <c r="CJC488" s="4"/>
      <c r="CJD488" s="4"/>
      <c r="CJE488" s="4"/>
      <c r="CJF488" s="4"/>
      <c r="CJG488" s="4"/>
      <c r="CJH488" s="4"/>
      <c r="CJI488" s="4"/>
      <c r="CJJ488" s="4"/>
      <c r="CJK488" s="4"/>
      <c r="CJL488" s="4"/>
      <c r="CJM488" s="4"/>
      <c r="CJN488" s="4"/>
      <c r="CJO488" s="4"/>
      <c r="CJP488" s="4"/>
      <c r="CJQ488" s="4"/>
      <c r="CJR488" s="4"/>
      <c r="CJS488" s="4"/>
      <c r="CJT488" s="4"/>
      <c r="CJU488" s="4"/>
      <c r="CJV488" s="4"/>
      <c r="CJW488" s="4"/>
      <c r="CJX488" s="4"/>
      <c r="CJY488" s="4"/>
      <c r="CJZ488" s="4"/>
      <c r="CKA488" s="4"/>
      <c r="CKB488" s="4"/>
      <c r="CKC488" s="4"/>
      <c r="CKD488" s="4"/>
      <c r="CKE488" s="4"/>
      <c r="CKF488" s="4"/>
      <c r="CKG488" s="4"/>
      <c r="CKH488" s="4"/>
      <c r="CKI488" s="4"/>
      <c r="CKJ488" s="4"/>
      <c r="CKK488" s="4"/>
      <c r="CKL488" s="4"/>
      <c r="CKM488" s="4"/>
      <c r="CKN488" s="4"/>
      <c r="CKO488" s="4"/>
      <c r="CKP488" s="4"/>
      <c r="CKQ488" s="4"/>
      <c r="CKR488" s="4"/>
      <c r="CKS488" s="4"/>
      <c r="CKT488" s="4"/>
      <c r="CKU488" s="4"/>
      <c r="CKV488" s="4"/>
      <c r="CKW488" s="4"/>
      <c r="CKX488" s="4"/>
      <c r="CKY488" s="4"/>
      <c r="CKZ488" s="4"/>
      <c r="CLA488" s="4"/>
      <c r="CLB488" s="4"/>
      <c r="CLC488" s="4"/>
      <c r="CLD488" s="4"/>
      <c r="CLE488" s="4"/>
      <c r="CLF488" s="4"/>
      <c r="CLG488" s="4"/>
      <c r="CLH488" s="4"/>
      <c r="CLI488" s="4"/>
      <c r="CLJ488" s="4"/>
      <c r="CLK488" s="4"/>
      <c r="CLL488" s="4"/>
      <c r="CLM488" s="4"/>
      <c r="CLN488" s="4"/>
      <c r="CLO488" s="4"/>
      <c r="CLP488" s="4"/>
      <c r="CLQ488" s="4"/>
      <c r="CLR488" s="4"/>
      <c r="CLS488" s="4"/>
      <c r="CLT488" s="4"/>
      <c r="CLU488" s="4"/>
      <c r="CLV488" s="4"/>
      <c r="CLW488" s="4"/>
      <c r="CLX488" s="4"/>
      <c r="CLY488" s="4"/>
      <c r="CLZ488" s="4"/>
      <c r="CMA488" s="4"/>
      <c r="CMB488" s="4"/>
      <c r="CMC488" s="4"/>
      <c r="CMD488" s="4"/>
      <c r="CME488" s="4"/>
      <c r="CMF488" s="4"/>
      <c r="CMG488" s="4"/>
      <c r="CMH488" s="4"/>
      <c r="CMI488" s="4"/>
      <c r="CMJ488" s="4"/>
      <c r="CMK488" s="4"/>
      <c r="CML488" s="4"/>
      <c r="CMM488" s="4"/>
      <c r="CMN488" s="4"/>
      <c r="CMO488" s="4"/>
      <c r="CMP488" s="4"/>
      <c r="CMQ488" s="4"/>
      <c r="CMR488" s="4"/>
      <c r="CMS488" s="4"/>
      <c r="CMT488" s="4"/>
      <c r="CMU488" s="4"/>
      <c r="CMV488" s="4"/>
      <c r="CMW488" s="4"/>
      <c r="CMX488" s="4"/>
      <c r="CMY488" s="4"/>
      <c r="CMZ488" s="4"/>
      <c r="CNA488" s="4"/>
      <c r="CNB488" s="4"/>
      <c r="CNC488" s="4"/>
      <c r="CND488" s="4"/>
      <c r="CNE488" s="4"/>
      <c r="CNF488" s="4"/>
      <c r="CNG488" s="4"/>
      <c r="CNH488" s="4"/>
      <c r="CNI488" s="4"/>
      <c r="CNJ488" s="4"/>
      <c r="CNK488" s="4"/>
      <c r="CNL488" s="4"/>
      <c r="CNM488" s="4"/>
      <c r="CNN488" s="4"/>
      <c r="CNO488" s="4"/>
      <c r="CNP488" s="4"/>
      <c r="CNQ488" s="4"/>
      <c r="CNR488" s="4"/>
      <c r="CNS488" s="4"/>
      <c r="CNT488" s="4"/>
      <c r="CNU488" s="4"/>
      <c r="CNV488" s="4"/>
      <c r="CNW488" s="4"/>
      <c r="CNX488" s="4"/>
      <c r="CNY488" s="4"/>
      <c r="CNZ488" s="4"/>
      <c r="COA488" s="4"/>
      <c r="COB488" s="4"/>
      <c r="COC488" s="4"/>
      <c r="COD488" s="4"/>
      <c r="COE488" s="4"/>
      <c r="COF488" s="4"/>
      <c r="COG488" s="4"/>
      <c r="COH488" s="4"/>
      <c r="COI488" s="4"/>
      <c r="COJ488" s="4"/>
      <c r="COK488" s="4"/>
      <c r="COL488" s="4"/>
      <c r="COM488" s="4"/>
      <c r="CON488" s="4"/>
      <c r="COO488" s="4"/>
      <c r="COP488" s="4"/>
      <c r="COQ488" s="4"/>
      <c r="COR488" s="4"/>
      <c r="COS488" s="4"/>
      <c r="COT488" s="4"/>
      <c r="COU488" s="4"/>
      <c r="COV488" s="4"/>
      <c r="COW488" s="4"/>
      <c r="COX488" s="4"/>
      <c r="COY488" s="4"/>
      <c r="COZ488" s="4"/>
      <c r="CPA488" s="4"/>
      <c r="CPB488" s="4"/>
      <c r="CPC488" s="4"/>
      <c r="CPD488" s="4"/>
      <c r="CPE488" s="4"/>
      <c r="CPF488" s="4"/>
      <c r="CPG488" s="4"/>
      <c r="CPH488" s="4"/>
      <c r="CPI488" s="4"/>
      <c r="CPJ488" s="4"/>
      <c r="CPK488" s="4"/>
      <c r="CPL488" s="4"/>
      <c r="CPM488" s="4"/>
      <c r="CPN488" s="4"/>
      <c r="CPO488" s="4"/>
      <c r="CPP488" s="4"/>
      <c r="CPQ488" s="4"/>
      <c r="CPR488" s="4"/>
      <c r="CPS488" s="4"/>
      <c r="CPT488" s="4"/>
      <c r="CPU488" s="4"/>
      <c r="CPV488" s="4"/>
      <c r="CPW488" s="4"/>
      <c r="CPX488" s="4"/>
      <c r="CPY488" s="4"/>
      <c r="CPZ488" s="4"/>
      <c r="CQA488" s="4"/>
      <c r="CQB488" s="4"/>
      <c r="CQC488" s="4"/>
      <c r="CQD488" s="4"/>
      <c r="CQE488" s="4"/>
      <c r="CQF488" s="4"/>
      <c r="CQG488" s="4"/>
      <c r="CQH488" s="4"/>
      <c r="CQI488" s="4"/>
      <c r="CQJ488" s="4"/>
      <c r="CQK488" s="4"/>
      <c r="CQL488" s="4"/>
      <c r="CQM488" s="4"/>
      <c r="CQN488" s="4"/>
      <c r="CQO488" s="4"/>
      <c r="CQP488" s="4"/>
      <c r="CQQ488" s="4"/>
      <c r="CQR488" s="4"/>
      <c r="CQS488" s="4"/>
      <c r="CQT488" s="4"/>
      <c r="CQU488" s="4"/>
      <c r="CQV488" s="4"/>
      <c r="CQW488" s="4"/>
      <c r="CQX488" s="4"/>
      <c r="CQY488" s="4"/>
      <c r="CQZ488" s="4"/>
      <c r="CRA488" s="4"/>
      <c r="CRB488" s="4"/>
      <c r="CRC488" s="4"/>
      <c r="CRD488" s="4"/>
      <c r="CRE488" s="4"/>
      <c r="CRF488" s="4"/>
      <c r="CRG488" s="4"/>
      <c r="CRH488" s="4"/>
      <c r="CRI488" s="4"/>
      <c r="CRJ488" s="4"/>
      <c r="CRK488" s="4"/>
      <c r="CRL488" s="4"/>
      <c r="CRM488" s="4"/>
      <c r="CRN488" s="4"/>
      <c r="CRO488" s="4"/>
      <c r="CRP488" s="4"/>
      <c r="CRQ488" s="4"/>
      <c r="CRR488" s="4"/>
      <c r="CRS488" s="4"/>
      <c r="CRT488" s="4"/>
      <c r="CRU488" s="4"/>
      <c r="CRV488" s="4"/>
      <c r="CRW488" s="4"/>
      <c r="CRX488" s="4"/>
      <c r="CRY488" s="4"/>
      <c r="CRZ488" s="4"/>
      <c r="CSA488" s="4"/>
      <c r="CSB488" s="4"/>
      <c r="CSC488" s="4"/>
      <c r="CSD488" s="4"/>
      <c r="CSE488" s="4"/>
      <c r="CSF488" s="4"/>
      <c r="CSG488" s="4"/>
      <c r="CSH488" s="4"/>
      <c r="CSI488" s="4"/>
      <c r="CSJ488" s="4"/>
      <c r="CSK488" s="4"/>
      <c r="CSL488" s="4"/>
      <c r="CSM488" s="4"/>
      <c r="CSN488" s="4"/>
      <c r="CSO488" s="4"/>
      <c r="CSP488" s="4"/>
      <c r="CSQ488" s="4"/>
      <c r="CSR488" s="4"/>
      <c r="CSS488" s="4"/>
      <c r="CST488" s="4"/>
      <c r="CSU488" s="4"/>
      <c r="CSV488" s="4"/>
      <c r="CSW488" s="4"/>
      <c r="CSX488" s="4"/>
      <c r="CSY488" s="4"/>
      <c r="CSZ488" s="4"/>
      <c r="CTA488" s="4"/>
      <c r="CTB488" s="4"/>
      <c r="CTC488" s="4"/>
      <c r="CTD488" s="4"/>
      <c r="CTE488" s="4"/>
      <c r="CTF488" s="4"/>
      <c r="CTG488" s="4"/>
      <c r="CTH488" s="4"/>
      <c r="CTI488" s="4"/>
      <c r="CTJ488" s="4"/>
      <c r="CTK488" s="4"/>
      <c r="CTL488" s="4"/>
      <c r="CTM488" s="4"/>
      <c r="CTN488" s="4"/>
      <c r="CTO488" s="4"/>
      <c r="CTP488" s="4"/>
      <c r="CTQ488" s="4"/>
      <c r="CTR488" s="4"/>
      <c r="CTS488" s="4"/>
      <c r="CTT488" s="4"/>
      <c r="CTU488" s="4"/>
      <c r="CTV488" s="4"/>
      <c r="CTW488" s="4"/>
      <c r="CTX488" s="4"/>
      <c r="CTY488" s="4"/>
      <c r="CTZ488" s="4"/>
      <c r="CUA488" s="4"/>
      <c r="CUB488" s="4"/>
      <c r="CUC488" s="4"/>
      <c r="CUD488" s="4"/>
      <c r="CUE488" s="4"/>
      <c r="CUF488" s="4"/>
      <c r="CUG488" s="4"/>
      <c r="CUH488" s="4"/>
      <c r="CUI488" s="4"/>
      <c r="CUJ488" s="4"/>
      <c r="CUK488" s="4"/>
      <c r="CUL488" s="4"/>
      <c r="CUM488" s="4"/>
      <c r="CUN488" s="4"/>
      <c r="CUO488" s="4"/>
      <c r="CUP488" s="4"/>
      <c r="CUQ488" s="4"/>
      <c r="CUR488" s="4"/>
      <c r="CUS488" s="4"/>
      <c r="CUT488" s="4"/>
      <c r="CUU488" s="4"/>
      <c r="CUV488" s="4"/>
      <c r="CUW488" s="4"/>
      <c r="CUX488" s="4"/>
      <c r="CUY488" s="4"/>
      <c r="CUZ488" s="4"/>
      <c r="CVA488" s="4"/>
      <c r="CVB488" s="4"/>
      <c r="CVC488" s="4"/>
      <c r="CVD488" s="4"/>
      <c r="CVE488" s="4"/>
      <c r="CVF488" s="4"/>
      <c r="CVG488" s="4"/>
      <c r="CVH488" s="4"/>
      <c r="CVI488" s="4"/>
      <c r="CVJ488" s="4"/>
      <c r="CVK488" s="4"/>
      <c r="CVL488" s="4"/>
      <c r="CVM488" s="4"/>
      <c r="CVN488" s="4"/>
      <c r="CVO488" s="4"/>
      <c r="CVP488" s="4"/>
      <c r="CVQ488" s="4"/>
      <c r="CVR488" s="4"/>
      <c r="CVS488" s="4"/>
      <c r="CVT488" s="4"/>
      <c r="CVU488" s="4"/>
      <c r="CVV488" s="4"/>
      <c r="CVW488" s="4"/>
      <c r="CVX488" s="4"/>
      <c r="CVY488" s="4"/>
      <c r="CVZ488" s="4"/>
      <c r="CWA488" s="4"/>
      <c r="CWB488" s="4"/>
      <c r="CWC488" s="4"/>
      <c r="CWD488" s="4"/>
      <c r="CWE488" s="4"/>
      <c r="CWF488" s="4"/>
      <c r="CWG488" s="4"/>
      <c r="CWH488" s="4"/>
      <c r="CWI488" s="4"/>
      <c r="CWJ488" s="4"/>
      <c r="CWK488" s="4"/>
      <c r="CWL488" s="4"/>
      <c r="CWM488" s="4"/>
      <c r="CWN488" s="4"/>
      <c r="CWO488" s="4"/>
      <c r="CWP488" s="4"/>
      <c r="CWQ488" s="4"/>
      <c r="CWR488" s="4"/>
      <c r="CWS488" s="4"/>
      <c r="CWT488" s="4"/>
      <c r="CWU488" s="4"/>
      <c r="CWV488" s="4"/>
      <c r="CWW488" s="4"/>
      <c r="CWX488" s="4"/>
      <c r="CWY488" s="4"/>
      <c r="CWZ488" s="4"/>
      <c r="CXA488" s="4"/>
      <c r="CXB488" s="4"/>
      <c r="CXC488" s="4"/>
      <c r="CXD488" s="4"/>
      <c r="CXE488" s="4"/>
      <c r="CXF488" s="4"/>
      <c r="CXG488" s="4"/>
      <c r="CXH488" s="4"/>
      <c r="CXI488" s="4"/>
      <c r="CXJ488" s="4"/>
      <c r="CXK488" s="4"/>
      <c r="CXL488" s="4"/>
      <c r="CXM488" s="4"/>
      <c r="CXN488" s="4"/>
      <c r="CXO488" s="4"/>
      <c r="CXP488" s="4"/>
      <c r="CXQ488" s="4"/>
      <c r="CXR488" s="4"/>
      <c r="CXS488" s="4"/>
      <c r="CXT488" s="4"/>
      <c r="CXU488" s="4"/>
      <c r="CXV488" s="4"/>
      <c r="CXW488" s="4"/>
      <c r="CXX488" s="4"/>
      <c r="CXY488" s="4"/>
      <c r="CXZ488" s="4"/>
      <c r="CYA488" s="4"/>
      <c r="CYB488" s="4"/>
      <c r="CYC488" s="4"/>
      <c r="CYD488" s="4"/>
      <c r="CYE488" s="4"/>
      <c r="CYF488" s="4"/>
      <c r="CYG488" s="4"/>
      <c r="CYH488" s="4"/>
      <c r="CYI488" s="4"/>
      <c r="CYJ488" s="4"/>
      <c r="CYK488" s="4"/>
      <c r="CYL488" s="4"/>
      <c r="CYM488" s="4"/>
      <c r="CYN488" s="4"/>
      <c r="CYO488" s="4"/>
      <c r="CYP488" s="4"/>
      <c r="CYQ488" s="4"/>
      <c r="CYR488" s="4"/>
      <c r="CYS488" s="4"/>
      <c r="CYT488" s="4"/>
      <c r="CYU488" s="4"/>
      <c r="CYV488" s="4"/>
      <c r="CYW488" s="4"/>
      <c r="CYX488" s="4"/>
      <c r="CYY488" s="4"/>
      <c r="CYZ488" s="4"/>
      <c r="CZA488" s="4"/>
      <c r="CZB488" s="4"/>
      <c r="CZC488" s="4"/>
      <c r="CZD488" s="4"/>
      <c r="CZE488" s="4"/>
      <c r="CZF488" s="4"/>
      <c r="CZG488" s="4"/>
      <c r="CZH488" s="4"/>
      <c r="CZI488" s="4"/>
      <c r="CZJ488" s="4"/>
      <c r="CZK488" s="4"/>
      <c r="CZL488" s="4"/>
      <c r="CZM488" s="4"/>
      <c r="CZN488" s="4"/>
      <c r="CZO488" s="4"/>
      <c r="CZP488" s="4"/>
      <c r="CZQ488" s="4"/>
      <c r="CZR488" s="4"/>
      <c r="CZS488" s="4"/>
      <c r="CZT488" s="4"/>
      <c r="CZU488" s="4"/>
      <c r="CZV488" s="4"/>
      <c r="CZW488" s="4"/>
      <c r="CZX488" s="4"/>
      <c r="CZY488" s="4"/>
      <c r="CZZ488" s="4"/>
      <c r="DAA488" s="4"/>
      <c r="DAB488" s="4"/>
      <c r="DAC488" s="4"/>
      <c r="DAD488" s="4"/>
      <c r="DAE488" s="4"/>
      <c r="DAF488" s="4"/>
      <c r="DAG488" s="4"/>
      <c r="DAH488" s="4"/>
      <c r="DAI488" s="4"/>
      <c r="DAJ488" s="4"/>
      <c r="DAK488" s="4"/>
      <c r="DAL488" s="4"/>
      <c r="DAM488" s="4"/>
      <c r="DAN488" s="4"/>
      <c r="DAO488" s="4"/>
      <c r="DAP488" s="4"/>
      <c r="DAQ488" s="4"/>
      <c r="DAR488" s="4"/>
      <c r="DAS488" s="4"/>
      <c r="DAT488" s="4"/>
      <c r="DAU488" s="4"/>
      <c r="DAV488" s="4"/>
      <c r="DAW488" s="4"/>
      <c r="DAX488" s="4"/>
      <c r="DAY488" s="4"/>
      <c r="DAZ488" s="4"/>
      <c r="DBA488" s="4"/>
      <c r="DBB488" s="4"/>
      <c r="DBC488" s="4"/>
      <c r="DBD488" s="4"/>
      <c r="DBE488" s="4"/>
      <c r="DBF488" s="4"/>
      <c r="DBG488" s="4"/>
      <c r="DBH488" s="4"/>
      <c r="DBI488" s="4"/>
      <c r="DBJ488" s="4"/>
      <c r="DBK488" s="4"/>
      <c r="DBL488" s="4"/>
      <c r="DBM488" s="4"/>
      <c r="DBN488" s="4"/>
      <c r="DBO488" s="4"/>
      <c r="DBP488" s="4"/>
      <c r="DBQ488" s="4"/>
      <c r="DBR488" s="4"/>
      <c r="DBS488" s="4"/>
      <c r="DBT488" s="4"/>
      <c r="DBU488" s="4"/>
      <c r="DBV488" s="4"/>
      <c r="DBW488" s="4"/>
      <c r="DBX488" s="4"/>
      <c r="DBY488" s="4"/>
      <c r="DBZ488" s="4"/>
      <c r="DCA488" s="4"/>
      <c r="DCB488" s="4"/>
      <c r="DCC488" s="4"/>
      <c r="DCD488" s="4"/>
      <c r="DCE488" s="4"/>
      <c r="DCF488" s="4"/>
      <c r="DCG488" s="4"/>
      <c r="DCH488" s="4"/>
      <c r="DCI488" s="4"/>
      <c r="DCJ488" s="4"/>
      <c r="DCK488" s="4"/>
      <c r="DCL488" s="4"/>
      <c r="DCM488" s="4"/>
      <c r="DCN488" s="4"/>
      <c r="DCO488" s="4"/>
      <c r="DCP488" s="4"/>
      <c r="DCQ488" s="4"/>
      <c r="DCR488" s="4"/>
      <c r="DCS488" s="4"/>
      <c r="DCT488" s="4"/>
      <c r="DCU488" s="4"/>
      <c r="DCV488" s="4"/>
      <c r="DCW488" s="4"/>
      <c r="DCX488" s="4"/>
      <c r="DCY488" s="4"/>
      <c r="DCZ488" s="4"/>
      <c r="DDA488" s="4"/>
      <c r="DDB488" s="4"/>
      <c r="DDC488" s="4"/>
      <c r="DDD488" s="4"/>
      <c r="DDE488" s="4"/>
      <c r="DDF488" s="4"/>
      <c r="DDG488" s="4"/>
      <c r="DDH488" s="4"/>
      <c r="DDI488" s="4"/>
      <c r="DDJ488" s="4"/>
      <c r="DDK488" s="4"/>
      <c r="DDL488" s="4"/>
      <c r="DDM488" s="4"/>
      <c r="DDN488" s="4"/>
      <c r="DDO488" s="4"/>
      <c r="DDP488" s="4"/>
      <c r="DDQ488" s="4"/>
      <c r="DDR488" s="4"/>
      <c r="DDS488" s="4"/>
      <c r="DDT488" s="4"/>
      <c r="DDU488" s="4"/>
      <c r="DDV488" s="4"/>
      <c r="DDW488" s="4"/>
      <c r="DDX488" s="4"/>
      <c r="DDY488" s="4"/>
      <c r="DDZ488" s="4"/>
      <c r="DEA488" s="4"/>
      <c r="DEB488" s="4"/>
      <c r="DEC488" s="4"/>
      <c r="DED488" s="4"/>
      <c r="DEE488" s="4"/>
      <c r="DEF488" s="4"/>
      <c r="DEG488" s="4"/>
      <c r="DEH488" s="4"/>
      <c r="DEI488" s="4"/>
      <c r="DEJ488" s="4"/>
      <c r="DEK488" s="4"/>
      <c r="DEL488" s="4"/>
      <c r="DEM488" s="4"/>
      <c r="DEN488" s="4"/>
      <c r="DEO488" s="4"/>
      <c r="DEP488" s="4"/>
      <c r="DEQ488" s="4"/>
      <c r="DER488" s="4"/>
      <c r="DES488" s="4"/>
      <c r="DET488" s="4"/>
      <c r="DEU488" s="4"/>
      <c r="DEV488" s="4"/>
      <c r="DEW488" s="4"/>
      <c r="DEX488" s="4"/>
      <c r="DEY488" s="4"/>
      <c r="DEZ488" s="4"/>
      <c r="DFA488" s="4"/>
      <c r="DFB488" s="4"/>
      <c r="DFC488" s="4"/>
      <c r="DFD488" s="4"/>
      <c r="DFE488" s="4"/>
      <c r="DFF488" s="4"/>
      <c r="DFG488" s="4"/>
      <c r="DFH488" s="4"/>
      <c r="DFI488" s="4"/>
      <c r="DFJ488" s="4"/>
      <c r="DFK488" s="4"/>
      <c r="DFL488" s="4"/>
      <c r="DFM488" s="4"/>
      <c r="DFN488" s="4"/>
      <c r="DFO488" s="4"/>
      <c r="DFP488" s="4"/>
      <c r="DFQ488" s="4"/>
      <c r="DFR488" s="4"/>
      <c r="DFS488" s="4"/>
      <c r="DFT488" s="4"/>
      <c r="DFU488" s="4"/>
      <c r="DFV488" s="4"/>
      <c r="DFW488" s="4"/>
      <c r="DFX488" s="4"/>
      <c r="DFY488" s="4"/>
      <c r="DFZ488" s="4"/>
      <c r="DGA488" s="4"/>
      <c r="DGB488" s="4"/>
      <c r="DGC488" s="4"/>
      <c r="DGD488" s="4"/>
      <c r="DGE488" s="4"/>
      <c r="DGF488" s="4"/>
      <c r="DGG488" s="4"/>
      <c r="DGH488" s="4"/>
      <c r="DGI488" s="4"/>
      <c r="DGJ488" s="4"/>
      <c r="DGK488" s="4"/>
      <c r="DGL488" s="4"/>
      <c r="DGM488" s="4"/>
      <c r="DGN488" s="4"/>
      <c r="DGO488" s="4"/>
      <c r="DGP488" s="4"/>
      <c r="DGQ488" s="4"/>
      <c r="DGR488" s="4"/>
      <c r="DGS488" s="4"/>
      <c r="DGT488" s="4"/>
      <c r="DGU488" s="4"/>
      <c r="DGV488" s="4"/>
      <c r="DGW488" s="4"/>
      <c r="DGX488" s="4"/>
      <c r="DGY488" s="4"/>
      <c r="DGZ488" s="4"/>
      <c r="DHA488" s="4"/>
      <c r="DHB488" s="4"/>
      <c r="DHC488" s="4"/>
      <c r="DHD488" s="4"/>
      <c r="DHE488" s="4"/>
      <c r="DHF488" s="4"/>
      <c r="DHG488" s="4"/>
      <c r="DHH488" s="4"/>
      <c r="DHI488" s="4"/>
      <c r="DHJ488" s="4"/>
      <c r="DHK488" s="4"/>
      <c r="DHL488" s="4"/>
      <c r="DHM488" s="4"/>
      <c r="DHN488" s="4"/>
      <c r="DHO488" s="4"/>
      <c r="DHP488" s="4"/>
      <c r="DHQ488" s="4"/>
      <c r="DHR488" s="4"/>
      <c r="DHS488" s="4"/>
      <c r="DHT488" s="4"/>
      <c r="DHU488" s="4"/>
      <c r="DHV488" s="4"/>
      <c r="DHW488" s="4"/>
      <c r="DHX488" s="4"/>
      <c r="DHY488" s="4"/>
      <c r="DHZ488" s="4"/>
      <c r="DIA488" s="4"/>
      <c r="DIB488" s="4"/>
      <c r="DIC488" s="4"/>
      <c r="DID488" s="4"/>
      <c r="DIE488" s="4"/>
      <c r="DIF488" s="4"/>
      <c r="DIG488" s="4"/>
      <c r="DIH488" s="4"/>
      <c r="DII488" s="4"/>
      <c r="DIJ488" s="4"/>
      <c r="DIK488" s="4"/>
      <c r="DIL488" s="4"/>
      <c r="DIM488" s="4"/>
      <c r="DIN488" s="4"/>
      <c r="DIO488" s="4"/>
      <c r="DIP488" s="4"/>
      <c r="DIQ488" s="4"/>
      <c r="DIR488" s="4"/>
      <c r="DIS488" s="4"/>
      <c r="DIT488" s="4"/>
      <c r="DIU488" s="4"/>
      <c r="DIV488" s="4"/>
      <c r="DIW488" s="4"/>
      <c r="DIX488" s="4"/>
      <c r="DIY488" s="4"/>
      <c r="DIZ488" s="4"/>
      <c r="DJA488" s="4"/>
      <c r="DJB488" s="4"/>
      <c r="DJC488" s="4"/>
      <c r="DJD488" s="4"/>
      <c r="DJE488" s="4"/>
      <c r="DJF488" s="4"/>
      <c r="DJG488" s="4"/>
      <c r="DJH488" s="4"/>
      <c r="DJI488" s="4"/>
      <c r="DJJ488" s="4"/>
      <c r="DJK488" s="4"/>
      <c r="DJL488" s="4"/>
      <c r="DJM488" s="4"/>
      <c r="DJN488" s="4"/>
      <c r="DJO488" s="4"/>
      <c r="DJP488" s="4"/>
      <c r="DJQ488" s="4"/>
      <c r="DJR488" s="4"/>
      <c r="DJS488" s="4"/>
      <c r="DJT488" s="4"/>
      <c r="DJU488" s="4"/>
      <c r="DJV488" s="4"/>
      <c r="DJW488" s="4"/>
      <c r="DJX488" s="4"/>
      <c r="DJY488" s="4"/>
      <c r="DJZ488" s="4"/>
      <c r="DKA488" s="4"/>
      <c r="DKB488" s="4"/>
      <c r="DKC488" s="4"/>
      <c r="DKD488" s="4"/>
      <c r="DKE488" s="4"/>
      <c r="DKF488" s="4"/>
      <c r="DKG488" s="4"/>
      <c r="DKH488" s="4"/>
      <c r="DKI488" s="4"/>
      <c r="DKJ488" s="4"/>
      <c r="DKK488" s="4"/>
      <c r="DKL488" s="4"/>
      <c r="DKM488" s="4"/>
      <c r="DKN488" s="4"/>
      <c r="DKO488" s="4"/>
      <c r="DKP488" s="4"/>
      <c r="DKQ488" s="4"/>
      <c r="DKR488" s="4"/>
      <c r="DKS488" s="4"/>
      <c r="DKT488" s="4"/>
      <c r="DKU488" s="4"/>
      <c r="DKV488" s="4"/>
      <c r="DKW488" s="4"/>
      <c r="DKX488" s="4"/>
      <c r="DKY488" s="4"/>
      <c r="DKZ488" s="4"/>
      <c r="DLA488" s="4"/>
      <c r="DLB488" s="4"/>
      <c r="DLC488" s="4"/>
      <c r="DLD488" s="4"/>
      <c r="DLE488" s="4"/>
      <c r="DLF488" s="4"/>
      <c r="DLG488" s="4"/>
      <c r="DLH488" s="4"/>
      <c r="DLI488" s="4"/>
      <c r="DLJ488" s="4"/>
      <c r="DLK488" s="4"/>
      <c r="DLL488" s="4"/>
      <c r="DLM488" s="4"/>
      <c r="DLN488" s="4"/>
      <c r="DLO488" s="4"/>
      <c r="DLP488" s="4"/>
      <c r="DLQ488" s="4"/>
      <c r="DLR488" s="4"/>
      <c r="DLS488" s="4"/>
      <c r="DLT488" s="4"/>
      <c r="DLU488" s="4"/>
      <c r="DLV488" s="4"/>
      <c r="DLW488" s="4"/>
      <c r="DLX488" s="4"/>
      <c r="DLY488" s="4"/>
      <c r="DLZ488" s="4"/>
      <c r="DMA488" s="4"/>
      <c r="DMB488" s="4"/>
      <c r="DMC488" s="4"/>
      <c r="DMD488" s="4"/>
      <c r="DME488" s="4"/>
      <c r="DMF488" s="4"/>
      <c r="DMG488" s="4"/>
      <c r="DMH488" s="4"/>
      <c r="DMI488" s="4"/>
      <c r="DMJ488" s="4"/>
      <c r="DMK488" s="4"/>
      <c r="DML488" s="4"/>
      <c r="DMM488" s="4"/>
      <c r="DMN488" s="4"/>
      <c r="DMO488" s="4"/>
      <c r="DMP488" s="4"/>
      <c r="DMQ488" s="4"/>
      <c r="DMR488" s="4"/>
      <c r="DMS488" s="4"/>
      <c r="DMT488" s="4"/>
      <c r="DMU488" s="4"/>
      <c r="DMV488" s="4"/>
      <c r="DMW488" s="4"/>
      <c r="DMX488" s="4"/>
      <c r="DMY488" s="4"/>
      <c r="DMZ488" s="4"/>
      <c r="DNA488" s="4"/>
      <c r="DNB488" s="4"/>
      <c r="DNC488" s="4"/>
      <c r="DND488" s="4"/>
      <c r="DNE488" s="4"/>
      <c r="DNF488" s="4"/>
      <c r="DNG488" s="4"/>
      <c r="DNH488" s="4"/>
      <c r="DNI488" s="4"/>
      <c r="DNJ488" s="4"/>
      <c r="DNK488" s="4"/>
      <c r="DNL488" s="4"/>
      <c r="DNM488" s="4"/>
      <c r="DNN488" s="4"/>
      <c r="DNO488" s="4"/>
      <c r="DNP488" s="4"/>
      <c r="DNQ488" s="4"/>
      <c r="DNR488" s="4"/>
      <c r="DNS488" s="4"/>
      <c r="DNT488" s="4"/>
      <c r="DNU488" s="4"/>
      <c r="DNV488" s="4"/>
      <c r="DNW488" s="4"/>
      <c r="DNX488" s="4"/>
      <c r="DNY488" s="4"/>
      <c r="DNZ488" s="4"/>
      <c r="DOA488" s="4"/>
      <c r="DOB488" s="4"/>
      <c r="DOC488" s="4"/>
      <c r="DOD488" s="4"/>
      <c r="DOE488" s="4"/>
      <c r="DOF488" s="4"/>
      <c r="DOG488" s="4"/>
      <c r="DOH488" s="4"/>
      <c r="DOI488" s="4"/>
      <c r="DOJ488" s="4"/>
      <c r="DOK488" s="4"/>
      <c r="DOL488" s="4"/>
      <c r="DOM488" s="4"/>
      <c r="DON488" s="4"/>
      <c r="DOO488" s="4"/>
      <c r="DOP488" s="4"/>
      <c r="DOQ488" s="4"/>
      <c r="DOR488" s="4"/>
      <c r="DOS488" s="4"/>
      <c r="DOT488" s="4"/>
      <c r="DOU488" s="4"/>
      <c r="DOV488" s="4"/>
      <c r="DOW488" s="4"/>
      <c r="DOX488" s="4"/>
      <c r="DOY488" s="4"/>
      <c r="DOZ488" s="4"/>
      <c r="DPA488" s="4"/>
      <c r="DPB488" s="4"/>
      <c r="DPC488" s="4"/>
      <c r="DPD488" s="4"/>
      <c r="DPE488" s="4"/>
      <c r="DPF488" s="4"/>
      <c r="DPG488" s="4"/>
      <c r="DPH488" s="4"/>
      <c r="DPI488" s="4"/>
      <c r="DPJ488" s="4"/>
      <c r="DPK488" s="4"/>
      <c r="DPL488" s="4"/>
      <c r="DPM488" s="4"/>
      <c r="DPN488" s="4"/>
      <c r="DPO488" s="4"/>
      <c r="DPP488" s="4"/>
      <c r="DPQ488" s="4"/>
      <c r="DPR488" s="4"/>
      <c r="DPS488" s="4"/>
      <c r="DPT488" s="4"/>
      <c r="DPU488" s="4"/>
      <c r="DPV488" s="4"/>
      <c r="DPW488" s="4"/>
      <c r="DPX488" s="4"/>
      <c r="DPY488" s="4"/>
      <c r="DPZ488" s="4"/>
      <c r="DQA488" s="4"/>
      <c r="DQB488" s="4"/>
      <c r="DQC488" s="4"/>
      <c r="DQD488" s="4"/>
      <c r="DQE488" s="4"/>
      <c r="DQF488" s="4"/>
      <c r="DQG488" s="4"/>
      <c r="DQH488" s="4"/>
      <c r="DQI488" s="4"/>
      <c r="DQJ488" s="4"/>
      <c r="DQK488" s="4"/>
      <c r="DQL488" s="4"/>
      <c r="DQM488" s="4"/>
      <c r="DQN488" s="4"/>
      <c r="DQO488" s="4"/>
      <c r="DQP488" s="4"/>
      <c r="DQQ488" s="4"/>
      <c r="DQR488" s="4"/>
      <c r="DQS488" s="4"/>
      <c r="DQT488" s="4"/>
      <c r="DQU488" s="4"/>
      <c r="DQV488" s="4"/>
      <c r="DQW488" s="4"/>
      <c r="DQX488" s="4"/>
      <c r="DQY488" s="4"/>
      <c r="DQZ488" s="4"/>
      <c r="DRA488" s="4"/>
      <c r="DRB488" s="4"/>
      <c r="DRC488" s="4"/>
      <c r="DRD488" s="4"/>
      <c r="DRE488" s="4"/>
      <c r="DRF488" s="4"/>
      <c r="DRG488" s="4"/>
      <c r="DRH488" s="4"/>
      <c r="DRI488" s="4"/>
      <c r="DRJ488" s="4"/>
      <c r="DRK488" s="4"/>
      <c r="DRL488" s="4"/>
      <c r="DRM488" s="4"/>
      <c r="DRN488" s="4"/>
      <c r="DRO488" s="4"/>
      <c r="DRP488" s="4"/>
      <c r="DRQ488" s="4"/>
      <c r="DRR488" s="4"/>
      <c r="DRS488" s="4"/>
      <c r="DRT488" s="4"/>
      <c r="DRU488" s="4"/>
      <c r="DRV488" s="4"/>
      <c r="DRW488" s="4"/>
      <c r="DRX488" s="4"/>
      <c r="DRY488" s="4"/>
      <c r="DRZ488" s="4"/>
      <c r="DSA488" s="4"/>
      <c r="DSB488" s="4"/>
      <c r="DSC488" s="4"/>
      <c r="DSD488" s="4"/>
      <c r="DSE488" s="4"/>
      <c r="DSF488" s="4"/>
      <c r="DSG488" s="4"/>
      <c r="DSH488" s="4"/>
      <c r="DSI488" s="4"/>
      <c r="DSJ488" s="4"/>
      <c r="DSK488" s="4"/>
      <c r="DSL488" s="4"/>
      <c r="DSM488" s="4"/>
      <c r="DSN488" s="4"/>
      <c r="DSO488" s="4"/>
      <c r="DSP488" s="4"/>
      <c r="DSQ488" s="4"/>
      <c r="DSR488" s="4"/>
      <c r="DSS488" s="4"/>
      <c r="DST488" s="4"/>
      <c r="DSU488" s="4"/>
      <c r="DSV488" s="4"/>
      <c r="DSW488" s="4"/>
      <c r="DSX488" s="4"/>
      <c r="DSY488" s="4"/>
      <c r="DSZ488" s="4"/>
      <c r="DTA488" s="4"/>
      <c r="DTB488" s="4"/>
      <c r="DTC488" s="4"/>
      <c r="DTD488" s="4"/>
      <c r="DTE488" s="4"/>
      <c r="DTF488" s="4"/>
      <c r="DTG488" s="4"/>
      <c r="DTH488" s="4"/>
      <c r="DTI488" s="4"/>
      <c r="DTJ488" s="4"/>
      <c r="DTK488" s="4"/>
      <c r="DTL488" s="4"/>
      <c r="DTM488" s="4"/>
      <c r="DTN488" s="4"/>
      <c r="DTO488" s="4"/>
      <c r="DTP488" s="4"/>
      <c r="DTQ488" s="4"/>
      <c r="DTR488" s="4"/>
      <c r="DTS488" s="4"/>
      <c r="DTT488" s="4"/>
      <c r="DTU488" s="4"/>
      <c r="DTV488" s="4"/>
      <c r="DTW488" s="4"/>
      <c r="DTX488" s="4"/>
      <c r="DTY488" s="4"/>
      <c r="DTZ488" s="4"/>
      <c r="DUA488" s="4"/>
      <c r="DUB488" s="4"/>
      <c r="DUC488" s="4"/>
      <c r="DUD488" s="4"/>
      <c r="DUE488" s="4"/>
      <c r="DUF488" s="4"/>
      <c r="DUG488" s="4"/>
      <c r="DUH488" s="4"/>
      <c r="DUI488" s="4"/>
      <c r="DUJ488" s="4"/>
      <c r="DUK488" s="4"/>
      <c r="DUL488" s="4"/>
      <c r="DUM488" s="4"/>
      <c r="DUN488" s="4"/>
      <c r="DUO488" s="4"/>
      <c r="DUP488" s="4"/>
      <c r="DUQ488" s="4"/>
      <c r="DUR488" s="4"/>
      <c r="DUS488" s="4"/>
      <c r="DUT488" s="4"/>
      <c r="DUU488" s="4"/>
      <c r="DUV488" s="4"/>
      <c r="DUW488" s="4"/>
      <c r="DUX488" s="4"/>
      <c r="DUY488" s="4"/>
      <c r="DUZ488" s="4"/>
      <c r="DVA488" s="4"/>
      <c r="DVB488" s="4"/>
      <c r="DVC488" s="4"/>
      <c r="DVD488" s="4"/>
      <c r="DVE488" s="4"/>
      <c r="DVF488" s="4"/>
      <c r="DVG488" s="4"/>
      <c r="DVH488" s="4"/>
      <c r="DVI488" s="4"/>
      <c r="DVJ488" s="4"/>
      <c r="DVK488" s="4"/>
      <c r="DVL488" s="4"/>
      <c r="DVM488" s="4"/>
      <c r="DVN488" s="4"/>
      <c r="DVO488" s="4"/>
      <c r="DVP488" s="4"/>
      <c r="DVQ488" s="4"/>
      <c r="DVR488" s="4"/>
      <c r="DVS488" s="4"/>
      <c r="DVT488" s="4"/>
      <c r="DVU488" s="4"/>
      <c r="DVV488" s="4"/>
      <c r="DVW488" s="4"/>
      <c r="DVX488" s="4"/>
      <c r="DVY488" s="4"/>
      <c r="DVZ488" s="4"/>
      <c r="DWA488" s="4"/>
      <c r="DWB488" s="4"/>
      <c r="DWC488" s="4"/>
      <c r="DWD488" s="4"/>
      <c r="DWE488" s="4"/>
      <c r="DWF488" s="4"/>
      <c r="DWG488" s="4"/>
      <c r="DWH488" s="4"/>
      <c r="DWI488" s="4"/>
      <c r="DWJ488" s="4"/>
      <c r="DWK488" s="4"/>
      <c r="DWL488" s="4"/>
      <c r="DWM488" s="4"/>
      <c r="DWN488" s="4"/>
      <c r="DWO488" s="4"/>
      <c r="DWP488" s="4"/>
      <c r="DWQ488" s="4"/>
      <c r="DWR488" s="4"/>
      <c r="DWS488" s="4"/>
      <c r="DWT488" s="4"/>
      <c r="DWU488" s="4"/>
      <c r="DWV488" s="4"/>
      <c r="DWW488" s="4"/>
      <c r="DWX488" s="4"/>
      <c r="DWY488" s="4"/>
      <c r="DWZ488" s="4"/>
      <c r="DXA488" s="4"/>
      <c r="DXB488" s="4"/>
      <c r="DXC488" s="4"/>
      <c r="DXD488" s="4"/>
      <c r="DXE488" s="4"/>
      <c r="DXF488" s="4"/>
      <c r="DXG488" s="4"/>
      <c r="DXH488" s="4"/>
      <c r="DXI488" s="4"/>
      <c r="DXJ488" s="4"/>
      <c r="DXK488" s="4"/>
      <c r="DXL488" s="4"/>
      <c r="DXM488" s="4"/>
      <c r="DXN488" s="4"/>
      <c r="DXO488" s="4"/>
      <c r="DXP488" s="4"/>
      <c r="DXQ488" s="4"/>
      <c r="DXR488" s="4"/>
      <c r="DXS488" s="4"/>
      <c r="DXT488" s="4"/>
      <c r="DXU488" s="4"/>
      <c r="DXV488" s="4"/>
      <c r="DXW488" s="4"/>
      <c r="DXX488" s="4"/>
      <c r="DXY488" s="4"/>
      <c r="DXZ488" s="4"/>
      <c r="DYA488" s="4"/>
      <c r="DYB488" s="4"/>
      <c r="DYC488" s="4"/>
      <c r="DYD488" s="4"/>
      <c r="DYE488" s="4"/>
      <c r="DYF488" s="4"/>
      <c r="DYG488" s="4"/>
      <c r="DYH488" s="4"/>
      <c r="DYI488" s="4"/>
      <c r="DYJ488" s="4"/>
      <c r="DYK488" s="4"/>
      <c r="DYL488" s="4"/>
      <c r="DYM488" s="4"/>
      <c r="DYN488" s="4"/>
      <c r="DYO488" s="4"/>
      <c r="DYP488" s="4"/>
      <c r="DYQ488" s="4"/>
      <c r="DYR488" s="4"/>
      <c r="DYS488" s="4"/>
      <c r="DYT488" s="4"/>
      <c r="DYU488" s="4"/>
      <c r="DYV488" s="4"/>
      <c r="DYW488" s="4"/>
      <c r="DYX488" s="4"/>
      <c r="DYY488" s="4"/>
      <c r="DYZ488" s="4"/>
      <c r="DZA488" s="4"/>
      <c r="DZB488" s="4"/>
      <c r="DZC488" s="4"/>
      <c r="DZD488" s="4"/>
      <c r="DZE488" s="4"/>
      <c r="DZF488" s="4"/>
      <c r="DZG488" s="4"/>
      <c r="DZH488" s="4"/>
      <c r="DZI488" s="4"/>
      <c r="DZJ488" s="4"/>
      <c r="DZK488" s="4"/>
      <c r="DZL488" s="4"/>
      <c r="DZM488" s="4"/>
      <c r="DZN488" s="4"/>
      <c r="DZO488" s="4"/>
      <c r="DZP488" s="4"/>
      <c r="DZQ488" s="4"/>
      <c r="DZR488" s="4"/>
      <c r="DZS488" s="4"/>
      <c r="DZT488" s="4"/>
      <c r="DZU488" s="4"/>
      <c r="DZV488" s="4"/>
      <c r="DZW488" s="4"/>
      <c r="DZX488" s="4"/>
      <c r="DZY488" s="4"/>
      <c r="DZZ488" s="4"/>
      <c r="EAA488" s="4"/>
      <c r="EAB488" s="4"/>
      <c r="EAC488" s="4"/>
      <c r="EAD488" s="4"/>
      <c r="EAE488" s="4"/>
      <c r="EAF488" s="4"/>
      <c r="EAG488" s="4"/>
      <c r="EAH488" s="4"/>
      <c r="EAI488" s="4"/>
      <c r="EAJ488" s="4"/>
      <c r="EAK488" s="4"/>
      <c r="EAL488" s="4"/>
      <c r="EAM488" s="4"/>
      <c r="EAN488" s="4"/>
      <c r="EAO488" s="4"/>
      <c r="EAP488" s="4"/>
      <c r="EAQ488" s="4"/>
      <c r="EAR488" s="4"/>
      <c r="EAS488" s="4"/>
      <c r="EAT488" s="4"/>
      <c r="EAU488" s="4"/>
      <c r="EAV488" s="4"/>
      <c r="EAW488" s="4"/>
      <c r="EAX488" s="4"/>
      <c r="EAY488" s="4"/>
      <c r="EAZ488" s="4"/>
      <c r="EBA488" s="4"/>
      <c r="EBB488" s="4"/>
      <c r="EBC488" s="4"/>
      <c r="EBD488" s="4"/>
      <c r="EBE488" s="4"/>
      <c r="EBF488" s="4"/>
      <c r="EBG488" s="4"/>
      <c r="EBH488" s="4"/>
      <c r="EBI488" s="4"/>
      <c r="EBJ488" s="4"/>
      <c r="EBK488" s="4"/>
      <c r="EBL488" s="4"/>
      <c r="EBM488" s="4"/>
      <c r="EBN488" s="4"/>
      <c r="EBO488" s="4"/>
      <c r="EBP488" s="4"/>
      <c r="EBQ488" s="4"/>
      <c r="EBR488" s="4"/>
      <c r="EBS488" s="4"/>
      <c r="EBT488" s="4"/>
      <c r="EBU488" s="4"/>
      <c r="EBV488" s="4"/>
      <c r="EBW488" s="4"/>
      <c r="EBX488" s="4"/>
      <c r="EBY488" s="4"/>
      <c r="EBZ488" s="4"/>
      <c r="ECA488" s="4"/>
      <c r="ECB488" s="4"/>
      <c r="ECC488" s="4"/>
      <c r="ECD488" s="4"/>
      <c r="ECE488" s="4"/>
      <c r="ECF488" s="4"/>
      <c r="ECG488" s="4"/>
      <c r="ECH488" s="4"/>
      <c r="ECI488" s="4"/>
      <c r="ECJ488" s="4"/>
      <c r="ECK488" s="4"/>
      <c r="ECL488" s="4"/>
      <c r="ECM488" s="4"/>
      <c r="ECN488" s="4"/>
      <c r="ECO488" s="4"/>
      <c r="ECP488" s="4"/>
      <c r="ECQ488" s="4"/>
      <c r="ECR488" s="4"/>
      <c r="ECS488" s="4"/>
      <c r="ECT488" s="4"/>
      <c r="ECU488" s="4"/>
      <c r="ECV488" s="4"/>
      <c r="ECW488" s="4"/>
      <c r="ECX488" s="4"/>
      <c r="ECY488" s="4"/>
      <c r="ECZ488" s="4"/>
      <c r="EDA488" s="4"/>
      <c r="EDB488" s="4"/>
      <c r="EDC488" s="4"/>
      <c r="EDD488" s="4"/>
      <c r="EDE488" s="4"/>
      <c r="EDF488" s="4"/>
      <c r="EDG488" s="4"/>
      <c r="EDH488" s="4"/>
      <c r="EDI488" s="4"/>
      <c r="EDJ488" s="4"/>
      <c r="EDK488" s="4"/>
      <c r="EDL488" s="4"/>
      <c r="EDM488" s="4"/>
      <c r="EDN488" s="4"/>
      <c r="EDO488" s="4"/>
      <c r="EDP488" s="4"/>
      <c r="EDQ488" s="4"/>
      <c r="EDR488" s="4"/>
      <c r="EDS488" s="4"/>
      <c r="EDT488" s="4"/>
      <c r="EDU488" s="4"/>
      <c r="EDV488" s="4"/>
      <c r="EDW488" s="4"/>
      <c r="EDX488" s="4"/>
      <c r="EDY488" s="4"/>
      <c r="EDZ488" s="4"/>
      <c r="EEA488" s="4"/>
      <c r="EEB488" s="4"/>
      <c r="EEC488" s="4"/>
      <c r="EED488" s="4"/>
      <c r="EEE488" s="4"/>
      <c r="EEF488" s="4"/>
      <c r="EEG488" s="4"/>
      <c r="EEH488" s="4"/>
      <c r="EEI488" s="4"/>
      <c r="EEJ488" s="4"/>
      <c r="EEK488" s="4"/>
      <c r="EEL488" s="4"/>
      <c r="EEM488" s="4"/>
      <c r="EEN488" s="4"/>
      <c r="EEO488" s="4"/>
      <c r="EEP488" s="4"/>
      <c r="EEQ488" s="4"/>
      <c r="EER488" s="4"/>
      <c r="EES488" s="4"/>
      <c r="EET488" s="4"/>
      <c r="EEU488" s="4"/>
      <c r="EEV488" s="4"/>
      <c r="EEW488" s="4"/>
      <c r="EEX488" s="4"/>
      <c r="EEY488" s="4"/>
      <c r="EEZ488" s="4"/>
      <c r="EFA488" s="4"/>
      <c r="EFB488" s="4"/>
      <c r="EFC488" s="4"/>
      <c r="EFD488" s="4"/>
      <c r="EFE488" s="4"/>
      <c r="EFF488" s="4"/>
      <c r="EFG488" s="4"/>
      <c r="EFH488" s="4"/>
      <c r="EFI488" s="4"/>
      <c r="EFJ488" s="4"/>
      <c r="EFK488" s="4"/>
      <c r="EFL488" s="4"/>
      <c r="EFM488" s="4"/>
      <c r="EFN488" s="4"/>
      <c r="EFO488" s="4"/>
      <c r="EFP488" s="4"/>
      <c r="EFQ488" s="4"/>
      <c r="EFR488" s="4"/>
      <c r="EFS488" s="4"/>
      <c r="EFT488" s="4"/>
      <c r="EFU488" s="4"/>
      <c r="EFV488" s="4"/>
      <c r="EFW488" s="4"/>
      <c r="EFX488" s="4"/>
      <c r="EFY488" s="4"/>
      <c r="EFZ488" s="4"/>
      <c r="EGA488" s="4"/>
      <c r="EGB488" s="4"/>
      <c r="EGC488" s="4"/>
      <c r="EGD488" s="4"/>
      <c r="EGE488" s="4"/>
      <c r="EGF488" s="4"/>
      <c r="EGG488" s="4"/>
      <c r="EGH488" s="4"/>
      <c r="EGI488" s="4"/>
      <c r="EGJ488" s="4"/>
      <c r="EGK488" s="4"/>
      <c r="EGL488" s="4"/>
      <c r="EGM488" s="4"/>
      <c r="EGN488" s="4"/>
      <c r="EGO488" s="4"/>
      <c r="EGP488" s="4"/>
      <c r="EGQ488" s="4"/>
      <c r="EGR488" s="4"/>
      <c r="EGS488" s="4"/>
      <c r="EGT488" s="4"/>
      <c r="EGU488" s="4"/>
      <c r="EGV488" s="4"/>
      <c r="EGW488" s="4"/>
      <c r="EGX488" s="4"/>
      <c r="EGY488" s="4"/>
      <c r="EGZ488" s="4"/>
      <c r="EHA488" s="4"/>
      <c r="EHB488" s="4"/>
      <c r="EHC488" s="4"/>
      <c r="EHD488" s="4"/>
      <c r="EHE488" s="4"/>
      <c r="EHF488" s="4"/>
      <c r="EHG488" s="4"/>
      <c r="EHH488" s="4"/>
      <c r="EHI488" s="4"/>
      <c r="EHJ488" s="4"/>
      <c r="EHK488" s="4"/>
      <c r="EHL488" s="4"/>
      <c r="EHM488" s="4"/>
      <c r="EHN488" s="4"/>
      <c r="EHO488" s="4"/>
      <c r="EHP488" s="4"/>
      <c r="EHQ488" s="4"/>
      <c r="EHR488" s="4"/>
      <c r="EHS488" s="4"/>
      <c r="EHT488" s="4"/>
      <c r="EHU488" s="4"/>
      <c r="EHV488" s="4"/>
      <c r="EHW488" s="4"/>
      <c r="EHX488" s="4"/>
      <c r="EHY488" s="4"/>
      <c r="EHZ488" s="4"/>
      <c r="EIA488" s="4"/>
      <c r="EIB488" s="4"/>
      <c r="EIC488" s="4"/>
      <c r="EID488" s="4"/>
      <c r="EIE488" s="4"/>
      <c r="EIF488" s="4"/>
      <c r="EIG488" s="4"/>
      <c r="EIH488" s="4"/>
      <c r="EII488" s="4"/>
      <c r="EIJ488" s="4"/>
      <c r="EIK488" s="4"/>
      <c r="EIL488" s="4"/>
      <c r="EIM488" s="4"/>
      <c r="EIN488" s="4"/>
      <c r="EIO488" s="4"/>
      <c r="EIP488" s="4"/>
      <c r="EIQ488" s="4"/>
      <c r="EIR488" s="4"/>
      <c r="EIS488" s="4"/>
      <c r="EIT488" s="4"/>
      <c r="EIU488" s="4"/>
      <c r="EIV488" s="4"/>
      <c r="EIW488" s="4"/>
      <c r="EIX488" s="4"/>
      <c r="EIY488" s="4"/>
      <c r="EIZ488" s="4"/>
      <c r="EJA488" s="4"/>
      <c r="EJB488" s="4"/>
      <c r="EJC488" s="4"/>
      <c r="EJD488" s="4"/>
      <c r="EJE488" s="4"/>
      <c r="EJF488" s="4"/>
      <c r="EJG488" s="4"/>
      <c r="EJH488" s="4"/>
      <c r="EJI488" s="4"/>
      <c r="EJJ488" s="4"/>
      <c r="EJK488" s="4"/>
      <c r="EJL488" s="4"/>
      <c r="EJM488" s="4"/>
      <c r="EJN488" s="4"/>
      <c r="EJO488" s="4"/>
      <c r="EJP488" s="4"/>
      <c r="EJQ488" s="4"/>
      <c r="EJR488" s="4"/>
      <c r="EJS488" s="4"/>
      <c r="EJT488" s="4"/>
      <c r="EJU488" s="4"/>
      <c r="EJV488" s="4"/>
      <c r="EJW488" s="4"/>
      <c r="EJX488" s="4"/>
      <c r="EJY488" s="4"/>
      <c r="EJZ488" s="4"/>
      <c r="EKA488" s="4"/>
      <c r="EKB488" s="4"/>
      <c r="EKC488" s="4"/>
      <c r="EKD488" s="4"/>
      <c r="EKE488" s="4"/>
      <c r="EKF488" s="4"/>
      <c r="EKG488" s="4"/>
      <c r="EKH488" s="4"/>
      <c r="EKI488" s="4"/>
      <c r="EKJ488" s="4"/>
      <c r="EKK488" s="4"/>
      <c r="EKL488" s="4"/>
      <c r="EKM488" s="4"/>
      <c r="EKN488" s="4"/>
      <c r="EKO488" s="4"/>
      <c r="EKP488" s="4"/>
      <c r="EKQ488" s="4"/>
      <c r="EKR488" s="4"/>
      <c r="EKS488" s="4"/>
      <c r="EKT488" s="4"/>
      <c r="EKU488" s="4"/>
      <c r="EKV488" s="4"/>
      <c r="EKW488" s="4"/>
      <c r="EKX488" s="4"/>
      <c r="EKY488" s="4"/>
      <c r="EKZ488" s="4"/>
      <c r="ELA488" s="4"/>
      <c r="ELB488" s="4"/>
      <c r="ELC488" s="4"/>
      <c r="ELD488" s="4"/>
      <c r="ELE488" s="4"/>
      <c r="ELF488" s="4"/>
      <c r="ELG488" s="4"/>
      <c r="ELH488" s="4"/>
      <c r="ELI488" s="4"/>
      <c r="ELJ488" s="4"/>
      <c r="ELK488" s="4"/>
      <c r="ELL488" s="4"/>
      <c r="ELM488" s="4"/>
      <c r="ELN488" s="4"/>
      <c r="ELO488" s="4"/>
      <c r="ELP488" s="4"/>
      <c r="ELQ488" s="4"/>
      <c r="ELR488" s="4"/>
      <c r="ELS488" s="4"/>
      <c r="ELT488" s="4"/>
      <c r="ELU488" s="4"/>
      <c r="ELV488" s="4"/>
      <c r="ELW488" s="4"/>
      <c r="ELX488" s="4"/>
      <c r="ELY488" s="4"/>
      <c r="ELZ488" s="4"/>
      <c r="EMA488" s="4"/>
      <c r="EMB488" s="4"/>
      <c r="EMC488" s="4"/>
      <c r="EMD488" s="4"/>
      <c r="EME488" s="4"/>
      <c r="EMF488" s="4"/>
      <c r="EMG488" s="4"/>
      <c r="EMH488" s="4"/>
      <c r="EMI488" s="4"/>
      <c r="EMJ488" s="4"/>
      <c r="EMK488" s="4"/>
      <c r="EML488" s="4"/>
      <c r="EMM488" s="4"/>
      <c r="EMN488" s="4"/>
      <c r="EMO488" s="4"/>
      <c r="EMP488" s="4"/>
      <c r="EMQ488" s="4"/>
      <c r="EMR488" s="4"/>
      <c r="EMS488" s="4"/>
      <c r="EMT488" s="4"/>
      <c r="EMU488" s="4"/>
      <c r="EMV488" s="4"/>
      <c r="EMW488" s="4"/>
      <c r="EMX488" s="4"/>
      <c r="EMY488" s="4"/>
      <c r="EMZ488" s="4"/>
      <c r="ENA488" s="4"/>
      <c r="ENB488" s="4"/>
      <c r="ENC488" s="4"/>
      <c r="END488" s="4"/>
      <c r="ENE488" s="4"/>
      <c r="ENF488" s="4"/>
      <c r="ENG488" s="4"/>
      <c r="ENH488" s="4"/>
      <c r="ENI488" s="4"/>
      <c r="ENJ488" s="4"/>
      <c r="ENK488" s="4"/>
      <c r="ENL488" s="4"/>
      <c r="ENM488" s="4"/>
      <c r="ENN488" s="4"/>
      <c r="ENO488" s="4"/>
      <c r="ENP488" s="4"/>
      <c r="ENQ488" s="4"/>
      <c r="ENR488" s="4"/>
      <c r="ENS488" s="4"/>
      <c r="ENT488" s="4"/>
      <c r="ENU488" s="4"/>
      <c r="ENV488" s="4"/>
      <c r="ENW488" s="4"/>
      <c r="ENX488" s="4"/>
      <c r="ENY488" s="4"/>
      <c r="ENZ488" s="4"/>
      <c r="EOA488" s="4"/>
      <c r="EOB488" s="4"/>
      <c r="EOC488" s="4"/>
      <c r="EOD488" s="4"/>
      <c r="EOE488" s="4"/>
      <c r="EOF488" s="4"/>
      <c r="EOG488" s="4"/>
      <c r="EOH488" s="4"/>
      <c r="EOI488" s="4"/>
      <c r="EOJ488" s="4"/>
      <c r="EOK488" s="4"/>
      <c r="EOL488" s="4"/>
      <c r="EOM488" s="4"/>
      <c r="EON488" s="4"/>
      <c r="EOO488" s="4"/>
      <c r="EOP488" s="4"/>
      <c r="EOQ488" s="4"/>
      <c r="EOR488" s="4"/>
      <c r="EOS488" s="4"/>
      <c r="EOT488" s="4"/>
      <c r="EOU488" s="4"/>
      <c r="EOV488" s="4"/>
      <c r="EOW488" s="4"/>
      <c r="EOX488" s="4"/>
      <c r="EOY488" s="4"/>
      <c r="EOZ488" s="4"/>
      <c r="EPA488" s="4"/>
      <c r="EPB488" s="4"/>
      <c r="EPC488" s="4"/>
      <c r="EPD488" s="4"/>
      <c r="EPE488" s="4"/>
      <c r="EPF488" s="4"/>
      <c r="EPG488" s="4"/>
      <c r="EPH488" s="4"/>
      <c r="EPI488" s="4"/>
      <c r="EPJ488" s="4"/>
      <c r="EPK488" s="4"/>
      <c r="EPL488" s="4"/>
      <c r="EPM488" s="4"/>
      <c r="EPN488" s="4"/>
      <c r="EPO488" s="4"/>
      <c r="EPP488" s="4"/>
      <c r="EPQ488" s="4"/>
      <c r="EPR488" s="4"/>
      <c r="EPS488" s="4"/>
      <c r="EPT488" s="4"/>
      <c r="EPU488" s="4"/>
      <c r="EPV488" s="4"/>
      <c r="EPW488" s="4"/>
      <c r="EPX488" s="4"/>
      <c r="EPY488" s="4"/>
      <c r="EPZ488" s="4"/>
      <c r="EQA488" s="4"/>
      <c r="EQB488" s="4"/>
      <c r="EQC488" s="4"/>
      <c r="EQD488" s="4"/>
      <c r="EQE488" s="4"/>
      <c r="EQF488" s="4"/>
      <c r="EQG488" s="4"/>
      <c r="EQH488" s="4"/>
      <c r="EQI488" s="4"/>
      <c r="EQJ488" s="4"/>
      <c r="EQK488" s="4"/>
      <c r="EQL488" s="4"/>
      <c r="EQM488" s="4"/>
      <c r="EQN488" s="4"/>
      <c r="EQO488" s="4"/>
      <c r="EQP488" s="4"/>
      <c r="EQQ488" s="4"/>
      <c r="EQR488" s="4"/>
      <c r="EQS488" s="4"/>
      <c r="EQT488" s="4"/>
      <c r="EQU488" s="4"/>
      <c r="EQV488" s="4"/>
      <c r="EQW488" s="4"/>
      <c r="EQX488" s="4"/>
      <c r="EQY488" s="4"/>
      <c r="EQZ488" s="4"/>
      <c r="ERA488" s="4"/>
      <c r="ERB488" s="4"/>
      <c r="ERC488" s="4"/>
      <c r="ERD488" s="4"/>
      <c r="ERE488" s="4"/>
      <c r="ERF488" s="4"/>
      <c r="ERG488" s="4"/>
      <c r="ERH488" s="4"/>
      <c r="ERI488" s="4"/>
      <c r="ERJ488" s="4"/>
      <c r="ERK488" s="4"/>
      <c r="ERL488" s="4"/>
      <c r="ERM488" s="4"/>
      <c r="ERN488" s="4"/>
      <c r="ERO488" s="4"/>
      <c r="ERP488" s="4"/>
      <c r="ERQ488" s="4"/>
      <c r="ERR488" s="4"/>
      <c r="ERS488" s="4"/>
      <c r="ERT488" s="4"/>
      <c r="ERU488" s="4"/>
      <c r="ERV488" s="4"/>
      <c r="ERW488" s="4"/>
      <c r="ERX488" s="4"/>
      <c r="ERY488" s="4"/>
      <c r="ERZ488" s="4"/>
      <c r="ESA488" s="4"/>
      <c r="ESB488" s="4"/>
      <c r="ESC488" s="4"/>
      <c r="ESD488" s="4"/>
      <c r="ESE488" s="4"/>
      <c r="ESF488" s="4"/>
      <c r="ESG488" s="4"/>
      <c r="ESH488" s="4"/>
      <c r="ESI488" s="4"/>
      <c r="ESJ488" s="4"/>
      <c r="ESK488" s="4"/>
      <c r="ESL488" s="4"/>
      <c r="ESM488" s="4"/>
      <c r="ESN488" s="4"/>
      <c r="ESO488" s="4"/>
      <c r="ESP488" s="4"/>
      <c r="ESQ488" s="4"/>
      <c r="ESR488" s="4"/>
      <c r="ESS488" s="4"/>
      <c r="EST488" s="4"/>
      <c r="ESU488" s="4"/>
      <c r="ESV488" s="4"/>
      <c r="ESW488" s="4"/>
      <c r="ESX488" s="4"/>
      <c r="ESY488" s="4"/>
      <c r="ESZ488" s="4"/>
      <c r="ETA488" s="4"/>
      <c r="ETB488" s="4"/>
      <c r="ETC488" s="4"/>
      <c r="ETD488" s="4"/>
      <c r="ETE488" s="4"/>
      <c r="ETF488" s="4"/>
      <c r="ETG488" s="4"/>
      <c r="ETH488" s="4"/>
      <c r="ETI488" s="4"/>
      <c r="ETJ488" s="4"/>
      <c r="ETK488" s="4"/>
      <c r="ETL488" s="4"/>
      <c r="ETM488" s="4"/>
      <c r="ETN488" s="4"/>
      <c r="ETO488" s="4"/>
      <c r="ETP488" s="4"/>
      <c r="ETQ488" s="4"/>
      <c r="ETR488" s="4"/>
      <c r="ETS488" s="4"/>
      <c r="ETT488" s="4"/>
      <c r="ETU488" s="4"/>
      <c r="ETV488" s="4"/>
      <c r="ETW488" s="4"/>
      <c r="ETX488" s="4"/>
      <c r="ETY488" s="4"/>
      <c r="ETZ488" s="4"/>
      <c r="EUA488" s="4"/>
      <c r="EUB488" s="4"/>
      <c r="EUC488" s="4"/>
      <c r="EUD488" s="4"/>
      <c r="EUE488" s="4"/>
      <c r="EUF488" s="4"/>
      <c r="EUG488" s="4"/>
      <c r="EUH488" s="4"/>
      <c r="EUI488" s="4"/>
      <c r="EUJ488" s="4"/>
      <c r="EUK488" s="4"/>
      <c r="EUL488" s="4"/>
      <c r="EUM488" s="4"/>
      <c r="EUN488" s="4"/>
      <c r="EUO488" s="4"/>
      <c r="EUP488" s="4"/>
      <c r="EUQ488" s="4"/>
      <c r="EUR488" s="4"/>
      <c r="EUS488" s="4"/>
      <c r="EUT488" s="4"/>
      <c r="EUU488" s="4"/>
      <c r="EUV488" s="4"/>
      <c r="EUW488" s="4"/>
      <c r="EUX488" s="4"/>
      <c r="EUY488" s="4"/>
      <c r="EUZ488" s="4"/>
      <c r="EVA488" s="4"/>
      <c r="EVB488" s="4"/>
      <c r="EVC488" s="4"/>
      <c r="EVD488" s="4"/>
      <c r="EVE488" s="4"/>
      <c r="EVF488" s="4"/>
      <c r="EVG488" s="4"/>
      <c r="EVH488" s="4"/>
      <c r="EVI488" s="4"/>
      <c r="EVJ488" s="4"/>
      <c r="EVK488" s="4"/>
      <c r="EVL488" s="4"/>
      <c r="EVM488" s="4"/>
      <c r="EVN488" s="4"/>
      <c r="EVO488" s="4"/>
      <c r="EVP488" s="4"/>
      <c r="EVQ488" s="4"/>
      <c r="EVR488" s="4"/>
      <c r="EVS488" s="4"/>
      <c r="EVT488" s="4"/>
      <c r="EVU488" s="4"/>
      <c r="EVV488" s="4"/>
      <c r="EVW488" s="4"/>
      <c r="EVX488" s="4"/>
      <c r="EVY488" s="4"/>
      <c r="EVZ488" s="4"/>
      <c r="EWA488" s="4"/>
      <c r="EWB488" s="4"/>
      <c r="EWC488" s="4"/>
      <c r="EWD488" s="4"/>
      <c r="EWE488" s="4"/>
      <c r="EWF488" s="4"/>
      <c r="EWG488" s="4"/>
      <c r="EWH488" s="4"/>
      <c r="EWI488" s="4"/>
      <c r="EWJ488" s="4"/>
      <c r="EWK488" s="4"/>
      <c r="EWL488" s="4"/>
      <c r="EWM488" s="4"/>
      <c r="EWN488" s="4"/>
      <c r="EWO488" s="4"/>
      <c r="EWP488" s="4"/>
      <c r="EWQ488" s="4"/>
      <c r="EWR488" s="4"/>
      <c r="EWS488" s="4"/>
      <c r="EWT488" s="4"/>
      <c r="EWU488" s="4"/>
      <c r="EWV488" s="4"/>
      <c r="EWW488" s="4"/>
      <c r="EWX488" s="4"/>
      <c r="EWY488" s="4"/>
      <c r="EWZ488" s="4"/>
      <c r="EXA488" s="4"/>
      <c r="EXB488" s="4"/>
      <c r="EXC488" s="4"/>
      <c r="EXD488" s="4"/>
      <c r="EXE488" s="4"/>
      <c r="EXF488" s="4"/>
      <c r="EXG488" s="4"/>
      <c r="EXH488" s="4"/>
      <c r="EXI488" s="4"/>
      <c r="EXJ488" s="4"/>
      <c r="EXK488" s="4"/>
      <c r="EXL488" s="4"/>
      <c r="EXM488" s="4"/>
      <c r="EXN488" s="4"/>
      <c r="EXO488" s="4"/>
      <c r="EXP488" s="4"/>
      <c r="EXQ488" s="4"/>
      <c r="EXR488" s="4"/>
      <c r="EXS488" s="4"/>
      <c r="EXT488" s="4"/>
      <c r="EXU488" s="4"/>
      <c r="EXV488" s="4"/>
      <c r="EXW488" s="4"/>
      <c r="EXX488" s="4"/>
      <c r="EXY488" s="4"/>
      <c r="EXZ488" s="4"/>
      <c r="EYA488" s="4"/>
      <c r="EYB488" s="4"/>
      <c r="EYC488" s="4"/>
      <c r="EYD488" s="4"/>
      <c r="EYE488" s="4"/>
      <c r="EYF488" s="4"/>
      <c r="EYG488" s="4"/>
      <c r="EYH488" s="4"/>
      <c r="EYI488" s="4"/>
      <c r="EYJ488" s="4"/>
      <c r="EYK488" s="4"/>
      <c r="EYL488" s="4"/>
      <c r="EYM488" s="4"/>
      <c r="EYN488" s="4"/>
      <c r="EYO488" s="4"/>
      <c r="EYP488" s="4"/>
      <c r="EYQ488" s="4"/>
      <c r="EYR488" s="4"/>
      <c r="EYS488" s="4"/>
      <c r="EYT488" s="4"/>
      <c r="EYU488" s="4"/>
      <c r="EYV488" s="4"/>
      <c r="EYW488" s="4"/>
      <c r="EYX488" s="4"/>
      <c r="EYY488" s="4"/>
      <c r="EYZ488" s="4"/>
      <c r="EZA488" s="4"/>
      <c r="EZB488" s="4"/>
      <c r="EZC488" s="4"/>
      <c r="EZD488" s="4"/>
      <c r="EZE488" s="4"/>
      <c r="EZF488" s="4"/>
      <c r="EZG488" s="4"/>
      <c r="EZH488" s="4"/>
      <c r="EZI488" s="4"/>
      <c r="EZJ488" s="4"/>
      <c r="EZK488" s="4"/>
      <c r="EZL488" s="4"/>
      <c r="EZM488" s="4"/>
      <c r="EZN488" s="4"/>
      <c r="EZO488" s="4"/>
      <c r="EZP488" s="4"/>
      <c r="EZQ488" s="4"/>
      <c r="EZR488" s="4"/>
      <c r="EZS488" s="4"/>
      <c r="EZT488" s="4"/>
      <c r="EZU488" s="4"/>
      <c r="EZV488" s="4"/>
      <c r="EZW488" s="4"/>
      <c r="EZX488" s="4"/>
      <c r="EZY488" s="4"/>
      <c r="EZZ488" s="4"/>
      <c r="FAA488" s="4"/>
      <c r="FAB488" s="4"/>
      <c r="FAC488" s="4"/>
      <c r="FAD488" s="4"/>
      <c r="FAE488" s="4"/>
      <c r="FAF488" s="4"/>
      <c r="FAG488" s="4"/>
      <c r="FAH488" s="4"/>
      <c r="FAI488" s="4"/>
      <c r="FAJ488" s="4"/>
      <c r="FAK488" s="4"/>
      <c r="FAL488" s="4"/>
      <c r="FAM488" s="4"/>
      <c r="FAN488" s="4"/>
      <c r="FAO488" s="4"/>
      <c r="FAP488" s="4"/>
      <c r="FAQ488" s="4"/>
      <c r="FAR488" s="4"/>
      <c r="FAS488" s="4"/>
      <c r="FAT488" s="4"/>
      <c r="FAU488" s="4"/>
      <c r="FAV488" s="4"/>
      <c r="FAW488" s="4"/>
      <c r="FAX488" s="4"/>
      <c r="FAY488" s="4"/>
      <c r="FAZ488" s="4"/>
      <c r="FBA488" s="4"/>
      <c r="FBB488" s="4"/>
      <c r="FBC488" s="4"/>
      <c r="FBD488" s="4"/>
      <c r="FBE488" s="4"/>
      <c r="FBF488" s="4"/>
      <c r="FBG488" s="4"/>
      <c r="FBH488" s="4"/>
      <c r="FBI488" s="4"/>
      <c r="FBJ488" s="4"/>
      <c r="FBK488" s="4"/>
      <c r="FBL488" s="4"/>
      <c r="FBM488" s="4"/>
      <c r="FBN488" s="4"/>
      <c r="FBO488" s="4"/>
      <c r="FBP488" s="4"/>
      <c r="FBQ488" s="4"/>
      <c r="FBR488" s="4"/>
      <c r="FBS488" s="4"/>
      <c r="FBT488" s="4"/>
      <c r="FBU488" s="4"/>
      <c r="FBV488" s="4"/>
      <c r="FBW488" s="4"/>
      <c r="FBX488" s="4"/>
      <c r="FBY488" s="4"/>
      <c r="FBZ488" s="4"/>
      <c r="FCA488" s="4"/>
      <c r="FCB488" s="4"/>
      <c r="FCC488" s="4"/>
      <c r="FCD488" s="4"/>
      <c r="FCE488" s="4"/>
      <c r="FCF488" s="4"/>
      <c r="FCG488" s="4"/>
      <c r="FCH488" s="4"/>
      <c r="FCI488" s="4"/>
      <c r="FCJ488" s="4"/>
      <c r="FCK488" s="4"/>
      <c r="FCL488" s="4"/>
      <c r="FCM488" s="4"/>
      <c r="FCN488" s="4"/>
      <c r="FCO488" s="4"/>
      <c r="FCP488" s="4"/>
      <c r="FCQ488" s="4"/>
      <c r="FCR488" s="4"/>
      <c r="FCS488" s="4"/>
      <c r="FCT488" s="4"/>
      <c r="FCU488" s="4"/>
      <c r="FCV488" s="4"/>
      <c r="FCW488" s="4"/>
      <c r="FCX488" s="4"/>
      <c r="FCY488" s="4"/>
      <c r="FCZ488" s="4"/>
      <c r="FDA488" s="4"/>
      <c r="FDB488" s="4"/>
      <c r="FDC488" s="4"/>
      <c r="FDD488" s="4"/>
      <c r="FDE488" s="4"/>
      <c r="FDF488" s="4"/>
      <c r="FDG488" s="4"/>
      <c r="FDH488" s="4"/>
      <c r="FDI488" s="4"/>
      <c r="FDJ488" s="4"/>
      <c r="FDK488" s="4"/>
      <c r="FDL488" s="4"/>
      <c r="FDM488" s="4"/>
      <c r="FDN488" s="4"/>
      <c r="FDO488" s="4"/>
      <c r="FDP488" s="4"/>
      <c r="FDQ488" s="4"/>
      <c r="FDR488" s="4"/>
      <c r="FDS488" s="4"/>
      <c r="FDT488" s="4"/>
      <c r="FDU488" s="4"/>
      <c r="FDV488" s="4"/>
      <c r="FDW488" s="4"/>
      <c r="FDX488" s="4"/>
      <c r="FDY488" s="4"/>
      <c r="FDZ488" s="4"/>
      <c r="FEA488" s="4"/>
      <c r="FEB488" s="4"/>
      <c r="FEC488" s="4"/>
      <c r="FED488" s="4"/>
      <c r="FEE488" s="4"/>
      <c r="FEF488" s="4"/>
      <c r="FEG488" s="4"/>
      <c r="FEH488" s="4"/>
      <c r="FEI488" s="4"/>
      <c r="FEJ488" s="4"/>
      <c r="FEK488" s="4"/>
      <c r="FEL488" s="4"/>
      <c r="FEM488" s="4"/>
      <c r="FEN488" s="4"/>
      <c r="FEO488" s="4"/>
      <c r="FEP488" s="4"/>
      <c r="FEQ488" s="4"/>
      <c r="FER488" s="4"/>
      <c r="FES488" s="4"/>
      <c r="FET488" s="4"/>
      <c r="FEU488" s="4"/>
      <c r="FEV488" s="4"/>
      <c r="FEW488" s="4"/>
      <c r="FEX488" s="4"/>
      <c r="FEY488" s="4"/>
      <c r="FEZ488" s="4"/>
      <c r="FFA488" s="4"/>
      <c r="FFB488" s="4"/>
      <c r="FFC488" s="4"/>
      <c r="FFD488" s="4"/>
      <c r="FFE488" s="4"/>
      <c r="FFF488" s="4"/>
      <c r="FFG488" s="4"/>
      <c r="FFH488" s="4"/>
      <c r="FFI488" s="4"/>
      <c r="FFJ488" s="4"/>
      <c r="FFK488" s="4"/>
      <c r="FFL488" s="4"/>
      <c r="FFM488" s="4"/>
      <c r="FFN488" s="4"/>
      <c r="FFO488" s="4"/>
      <c r="FFP488" s="4"/>
      <c r="FFQ488" s="4"/>
      <c r="FFR488" s="4"/>
      <c r="FFS488" s="4"/>
      <c r="FFT488" s="4"/>
      <c r="FFU488" s="4"/>
      <c r="FFV488" s="4"/>
      <c r="FFW488" s="4"/>
      <c r="FFX488" s="4"/>
      <c r="FFY488" s="4"/>
      <c r="FFZ488" s="4"/>
      <c r="FGA488" s="4"/>
      <c r="FGB488" s="4"/>
      <c r="FGC488" s="4"/>
      <c r="FGD488" s="4"/>
      <c r="FGE488" s="4"/>
      <c r="FGF488" s="4"/>
      <c r="FGG488" s="4"/>
      <c r="FGH488" s="4"/>
      <c r="FGI488" s="4"/>
      <c r="FGJ488" s="4"/>
      <c r="FGK488" s="4"/>
      <c r="FGL488" s="4"/>
      <c r="FGM488" s="4"/>
      <c r="FGN488" s="4"/>
      <c r="FGO488" s="4"/>
      <c r="FGP488" s="4"/>
      <c r="FGQ488" s="4"/>
      <c r="FGR488" s="4"/>
      <c r="FGS488" s="4"/>
      <c r="FGT488" s="4"/>
      <c r="FGU488" s="4"/>
      <c r="FGV488" s="4"/>
      <c r="FGW488" s="4"/>
      <c r="FGX488" s="4"/>
      <c r="FGY488" s="4"/>
      <c r="FGZ488" s="4"/>
      <c r="FHA488" s="4"/>
      <c r="FHB488" s="4"/>
      <c r="FHC488" s="4"/>
      <c r="FHD488" s="4"/>
      <c r="FHE488" s="4"/>
      <c r="FHF488" s="4"/>
      <c r="FHG488" s="4"/>
      <c r="FHH488" s="4"/>
      <c r="FHI488" s="4"/>
      <c r="FHJ488" s="4"/>
      <c r="FHK488" s="4"/>
      <c r="FHL488" s="4"/>
      <c r="FHM488" s="4"/>
      <c r="FHN488" s="4"/>
      <c r="FHO488" s="4"/>
      <c r="FHP488" s="4"/>
      <c r="FHQ488" s="4"/>
      <c r="FHR488" s="4"/>
      <c r="FHS488" s="4"/>
      <c r="FHT488" s="4"/>
      <c r="FHU488" s="4"/>
      <c r="FHV488" s="4"/>
      <c r="FHW488" s="4"/>
      <c r="FHX488" s="4"/>
      <c r="FHY488" s="4"/>
      <c r="FHZ488" s="4"/>
      <c r="FIA488" s="4"/>
      <c r="FIB488" s="4"/>
      <c r="FIC488" s="4"/>
      <c r="FID488" s="4"/>
      <c r="FIE488" s="4"/>
      <c r="FIF488" s="4"/>
      <c r="FIG488" s="4"/>
      <c r="FIH488" s="4"/>
      <c r="FII488" s="4"/>
      <c r="FIJ488" s="4"/>
      <c r="FIK488" s="4"/>
      <c r="FIL488" s="4"/>
      <c r="FIM488" s="4"/>
      <c r="FIN488" s="4"/>
      <c r="FIO488" s="4"/>
      <c r="FIP488" s="4"/>
      <c r="FIQ488" s="4"/>
      <c r="FIR488" s="4"/>
      <c r="FIS488" s="4"/>
      <c r="FIT488" s="4"/>
      <c r="FIU488" s="4"/>
      <c r="FIV488" s="4"/>
      <c r="FIW488" s="4"/>
      <c r="FIX488" s="4"/>
      <c r="FIY488" s="4"/>
      <c r="FIZ488" s="4"/>
      <c r="FJA488" s="4"/>
      <c r="FJB488" s="4"/>
      <c r="FJC488" s="4"/>
      <c r="FJD488" s="4"/>
      <c r="FJE488" s="4"/>
      <c r="FJF488" s="4"/>
      <c r="FJG488" s="4"/>
      <c r="FJH488" s="4"/>
      <c r="FJI488" s="4"/>
      <c r="FJJ488" s="4"/>
      <c r="FJK488" s="4"/>
      <c r="FJL488" s="4"/>
      <c r="FJM488" s="4"/>
      <c r="FJN488" s="4"/>
      <c r="FJO488" s="4"/>
      <c r="FJP488" s="4"/>
      <c r="FJQ488" s="4"/>
      <c r="FJR488" s="4"/>
      <c r="FJS488" s="4"/>
      <c r="FJT488" s="4"/>
      <c r="FJU488" s="4"/>
      <c r="FJV488" s="4"/>
      <c r="FJW488" s="4"/>
      <c r="FJX488" s="4"/>
      <c r="FJY488" s="4"/>
      <c r="FJZ488" s="4"/>
      <c r="FKA488" s="4"/>
      <c r="FKB488" s="4"/>
      <c r="FKC488" s="4"/>
      <c r="FKD488" s="4"/>
      <c r="FKE488" s="4"/>
      <c r="FKF488" s="4"/>
      <c r="FKG488" s="4"/>
      <c r="FKH488" s="4"/>
      <c r="FKI488" s="4"/>
      <c r="FKJ488" s="4"/>
      <c r="FKK488" s="4"/>
      <c r="FKL488" s="4"/>
      <c r="FKM488" s="4"/>
      <c r="FKN488" s="4"/>
      <c r="FKO488" s="4"/>
      <c r="FKP488" s="4"/>
      <c r="FKQ488" s="4"/>
      <c r="FKR488" s="4"/>
      <c r="FKS488" s="4"/>
      <c r="FKT488" s="4"/>
      <c r="FKU488" s="4"/>
      <c r="FKV488" s="4"/>
      <c r="FKW488" s="4"/>
      <c r="FKX488" s="4"/>
      <c r="FKY488" s="4"/>
      <c r="FKZ488" s="4"/>
      <c r="FLA488" s="4"/>
      <c r="FLB488" s="4"/>
      <c r="FLC488" s="4"/>
      <c r="FLD488" s="4"/>
      <c r="FLE488" s="4"/>
      <c r="FLF488" s="4"/>
      <c r="FLG488" s="4"/>
      <c r="FLH488" s="4"/>
      <c r="FLI488" s="4"/>
      <c r="FLJ488" s="4"/>
      <c r="FLK488" s="4"/>
      <c r="FLL488" s="4"/>
      <c r="FLM488" s="4"/>
      <c r="FLN488" s="4"/>
      <c r="FLO488" s="4"/>
      <c r="FLP488" s="4"/>
      <c r="FLQ488" s="4"/>
      <c r="FLR488" s="4"/>
      <c r="FLS488" s="4"/>
      <c r="FLT488" s="4"/>
      <c r="FLU488" s="4"/>
      <c r="FLV488" s="4"/>
      <c r="FLW488" s="4"/>
      <c r="FLX488" s="4"/>
      <c r="FLY488" s="4"/>
      <c r="FLZ488" s="4"/>
      <c r="FMA488" s="4"/>
      <c r="FMB488" s="4"/>
      <c r="FMC488" s="4"/>
      <c r="FMD488" s="4"/>
      <c r="FME488" s="4"/>
      <c r="FMF488" s="4"/>
      <c r="FMG488" s="4"/>
      <c r="FMH488" s="4"/>
      <c r="FMI488" s="4"/>
      <c r="FMJ488" s="4"/>
      <c r="FMK488" s="4"/>
      <c r="FML488" s="4"/>
      <c r="FMM488" s="4"/>
      <c r="FMN488" s="4"/>
      <c r="FMO488" s="4"/>
      <c r="FMP488" s="4"/>
      <c r="FMQ488" s="4"/>
      <c r="FMR488" s="4"/>
      <c r="FMS488" s="4"/>
      <c r="FMT488" s="4"/>
      <c r="FMU488" s="4"/>
      <c r="FMV488" s="4"/>
      <c r="FMW488" s="4"/>
      <c r="FMX488" s="4"/>
      <c r="FMY488" s="4"/>
      <c r="FMZ488" s="4"/>
      <c r="FNA488" s="4"/>
      <c r="FNB488" s="4"/>
      <c r="FNC488" s="4"/>
      <c r="FND488" s="4"/>
      <c r="FNE488" s="4"/>
      <c r="FNF488" s="4"/>
      <c r="FNG488" s="4"/>
      <c r="FNH488" s="4"/>
      <c r="FNI488" s="4"/>
      <c r="FNJ488" s="4"/>
      <c r="FNK488" s="4"/>
      <c r="FNL488" s="4"/>
      <c r="FNM488" s="4"/>
      <c r="FNN488" s="4"/>
      <c r="FNO488" s="4"/>
      <c r="FNP488" s="4"/>
      <c r="FNQ488" s="4"/>
      <c r="FNR488" s="4"/>
      <c r="FNS488" s="4"/>
      <c r="FNT488" s="4"/>
      <c r="FNU488" s="4"/>
      <c r="FNV488" s="4"/>
      <c r="FNW488" s="4"/>
      <c r="FNX488" s="4"/>
      <c r="FNY488" s="4"/>
      <c r="FNZ488" s="4"/>
      <c r="FOA488" s="4"/>
      <c r="FOB488" s="4"/>
      <c r="FOC488" s="4"/>
      <c r="FOD488" s="4"/>
      <c r="FOE488" s="4"/>
      <c r="FOF488" s="4"/>
      <c r="FOG488" s="4"/>
      <c r="FOH488" s="4"/>
      <c r="FOI488" s="4"/>
      <c r="FOJ488" s="4"/>
      <c r="FOK488" s="4"/>
      <c r="FOL488" s="4"/>
      <c r="FOM488" s="4"/>
      <c r="FON488" s="4"/>
      <c r="FOO488" s="4"/>
      <c r="FOP488" s="4"/>
      <c r="FOQ488" s="4"/>
      <c r="FOR488" s="4"/>
      <c r="FOS488" s="4"/>
      <c r="FOT488" s="4"/>
      <c r="FOU488" s="4"/>
      <c r="FOV488" s="4"/>
      <c r="FOW488" s="4"/>
      <c r="FOX488" s="4"/>
      <c r="FOY488" s="4"/>
      <c r="FOZ488" s="4"/>
      <c r="FPA488" s="4"/>
      <c r="FPB488" s="4"/>
      <c r="FPC488" s="4"/>
      <c r="FPD488" s="4"/>
      <c r="FPE488" s="4"/>
      <c r="FPF488" s="4"/>
      <c r="FPG488" s="4"/>
      <c r="FPH488" s="4"/>
      <c r="FPI488" s="4"/>
      <c r="FPJ488" s="4"/>
      <c r="FPK488" s="4"/>
      <c r="FPL488" s="4"/>
      <c r="FPM488" s="4"/>
      <c r="FPN488" s="4"/>
      <c r="FPO488" s="4"/>
      <c r="FPP488" s="4"/>
      <c r="FPQ488" s="4"/>
      <c r="FPR488" s="4"/>
      <c r="FPS488" s="4"/>
      <c r="FPT488" s="4"/>
      <c r="FPU488" s="4"/>
      <c r="FPV488" s="4"/>
      <c r="FPW488" s="4"/>
      <c r="FPX488" s="4"/>
      <c r="FPY488" s="4"/>
      <c r="FPZ488" s="4"/>
      <c r="FQA488" s="4"/>
      <c r="FQB488" s="4"/>
      <c r="FQC488" s="4"/>
      <c r="FQD488" s="4"/>
      <c r="FQE488" s="4"/>
      <c r="FQF488" s="4"/>
      <c r="FQG488" s="4"/>
      <c r="FQH488" s="4"/>
      <c r="FQI488" s="4"/>
      <c r="FQJ488" s="4"/>
      <c r="FQK488" s="4"/>
      <c r="FQL488" s="4"/>
      <c r="FQM488" s="4"/>
      <c r="FQN488" s="4"/>
      <c r="FQO488" s="4"/>
      <c r="FQP488" s="4"/>
      <c r="FQQ488" s="4"/>
      <c r="FQR488" s="4"/>
      <c r="FQS488" s="4"/>
      <c r="FQT488" s="4"/>
      <c r="FQU488" s="4"/>
      <c r="FQV488" s="4"/>
      <c r="FQW488" s="4"/>
      <c r="FQX488" s="4"/>
      <c r="FQY488" s="4"/>
      <c r="FQZ488" s="4"/>
      <c r="FRA488" s="4"/>
      <c r="FRB488" s="4"/>
      <c r="FRC488" s="4"/>
      <c r="FRD488" s="4"/>
      <c r="FRE488" s="4"/>
      <c r="FRF488" s="4"/>
      <c r="FRG488" s="4"/>
      <c r="FRH488" s="4"/>
      <c r="FRI488" s="4"/>
      <c r="FRJ488" s="4"/>
      <c r="FRK488" s="4"/>
      <c r="FRL488" s="4"/>
      <c r="FRM488" s="4"/>
      <c r="FRN488" s="4"/>
      <c r="FRO488" s="4"/>
      <c r="FRP488" s="4"/>
      <c r="FRQ488" s="4"/>
      <c r="FRR488" s="4"/>
      <c r="FRS488" s="4"/>
      <c r="FRT488" s="4"/>
      <c r="FRU488" s="4"/>
      <c r="FRV488" s="4"/>
      <c r="FRW488" s="4"/>
      <c r="FRX488" s="4"/>
      <c r="FRY488" s="4"/>
      <c r="FRZ488" s="4"/>
      <c r="FSA488" s="4"/>
      <c r="FSB488" s="4"/>
      <c r="FSC488" s="4"/>
      <c r="FSD488" s="4"/>
      <c r="FSE488" s="4"/>
      <c r="FSF488" s="4"/>
      <c r="FSG488" s="4"/>
      <c r="FSH488" s="4"/>
      <c r="FSI488" s="4"/>
      <c r="FSJ488" s="4"/>
      <c r="FSK488" s="4"/>
      <c r="FSL488" s="4"/>
      <c r="FSM488" s="4"/>
      <c r="FSN488" s="4"/>
      <c r="FSO488" s="4"/>
      <c r="FSP488" s="4"/>
      <c r="FSQ488" s="4"/>
      <c r="FSR488" s="4"/>
      <c r="FSS488" s="4"/>
      <c r="FST488" s="4"/>
      <c r="FSU488" s="4"/>
      <c r="FSV488" s="4"/>
      <c r="FSW488" s="4"/>
      <c r="FSX488" s="4"/>
      <c r="FSY488" s="4"/>
      <c r="FSZ488" s="4"/>
      <c r="FTA488" s="4"/>
      <c r="FTB488" s="4"/>
      <c r="FTC488" s="4"/>
      <c r="FTD488" s="4"/>
      <c r="FTE488" s="4"/>
      <c r="FTF488" s="4"/>
      <c r="FTG488" s="4"/>
      <c r="FTH488" s="4"/>
      <c r="FTI488" s="4"/>
      <c r="FTJ488" s="4"/>
      <c r="FTK488" s="4"/>
      <c r="FTL488" s="4"/>
      <c r="FTM488" s="4"/>
      <c r="FTN488" s="4"/>
      <c r="FTO488" s="4"/>
      <c r="FTP488" s="4"/>
      <c r="FTQ488" s="4"/>
      <c r="FTR488" s="4"/>
      <c r="FTS488" s="4"/>
      <c r="FTT488" s="4"/>
      <c r="FTU488" s="4"/>
      <c r="FTV488" s="4"/>
      <c r="FTW488" s="4"/>
      <c r="FTX488" s="4"/>
      <c r="FTY488" s="4"/>
      <c r="FTZ488" s="4"/>
      <c r="FUA488" s="4"/>
      <c r="FUB488" s="4"/>
      <c r="FUC488" s="4"/>
      <c r="FUD488" s="4"/>
      <c r="FUE488" s="4"/>
      <c r="FUF488" s="4"/>
      <c r="FUG488" s="4"/>
      <c r="FUH488" s="4"/>
      <c r="FUI488" s="4"/>
      <c r="FUJ488" s="4"/>
      <c r="FUK488" s="4"/>
      <c r="FUL488" s="4"/>
      <c r="FUM488" s="4"/>
      <c r="FUN488" s="4"/>
      <c r="FUO488" s="4"/>
      <c r="FUP488" s="4"/>
      <c r="FUQ488" s="4"/>
      <c r="FUR488" s="4"/>
      <c r="FUS488" s="4"/>
      <c r="FUT488" s="4"/>
      <c r="FUU488" s="4"/>
      <c r="FUV488" s="4"/>
      <c r="FUW488" s="4"/>
      <c r="FUX488" s="4"/>
      <c r="FUY488" s="4"/>
      <c r="FUZ488" s="4"/>
      <c r="FVA488" s="4"/>
      <c r="FVB488" s="4"/>
      <c r="FVC488" s="4"/>
      <c r="FVD488" s="4"/>
      <c r="FVE488" s="4"/>
      <c r="FVF488" s="4"/>
      <c r="FVG488" s="4"/>
      <c r="FVH488" s="4"/>
      <c r="FVI488" s="4"/>
      <c r="FVJ488" s="4"/>
      <c r="FVK488" s="4"/>
      <c r="FVL488" s="4"/>
      <c r="FVM488" s="4"/>
      <c r="FVN488" s="4"/>
      <c r="FVO488" s="4"/>
      <c r="FVP488" s="4"/>
      <c r="FVQ488" s="4"/>
      <c r="FVR488" s="4"/>
      <c r="FVS488" s="4"/>
      <c r="FVT488" s="4"/>
      <c r="FVU488" s="4"/>
      <c r="FVV488" s="4"/>
      <c r="FVW488" s="4"/>
      <c r="FVX488" s="4"/>
      <c r="FVY488" s="4"/>
      <c r="FVZ488" s="4"/>
      <c r="FWA488" s="4"/>
      <c r="FWB488" s="4"/>
      <c r="FWC488" s="4"/>
      <c r="FWD488" s="4"/>
      <c r="FWE488" s="4"/>
      <c r="FWF488" s="4"/>
      <c r="FWG488" s="4"/>
      <c r="FWH488" s="4"/>
      <c r="FWI488" s="4"/>
      <c r="FWJ488" s="4"/>
      <c r="FWK488" s="4"/>
      <c r="FWL488" s="4"/>
      <c r="FWM488" s="4"/>
      <c r="FWN488" s="4"/>
      <c r="FWO488" s="4"/>
      <c r="FWP488" s="4"/>
      <c r="FWQ488" s="4"/>
      <c r="FWR488" s="4"/>
      <c r="FWS488" s="4"/>
      <c r="FWT488" s="4"/>
      <c r="FWU488" s="4"/>
      <c r="FWV488" s="4"/>
      <c r="FWW488" s="4"/>
      <c r="FWX488" s="4"/>
      <c r="FWY488" s="4"/>
      <c r="FWZ488" s="4"/>
      <c r="FXA488" s="4"/>
      <c r="FXB488" s="4"/>
      <c r="FXC488" s="4"/>
      <c r="FXD488" s="4"/>
      <c r="FXE488" s="4"/>
      <c r="FXF488" s="4"/>
      <c r="FXG488" s="4"/>
      <c r="FXH488" s="4"/>
      <c r="FXI488" s="4"/>
      <c r="FXJ488" s="4"/>
      <c r="FXK488" s="4"/>
      <c r="FXL488" s="4"/>
      <c r="FXM488" s="4"/>
      <c r="FXN488" s="4"/>
      <c r="FXO488" s="4"/>
      <c r="FXP488" s="4"/>
      <c r="FXQ488" s="4"/>
      <c r="FXR488" s="4"/>
      <c r="FXS488" s="4"/>
      <c r="FXT488" s="4"/>
      <c r="FXU488" s="4"/>
      <c r="FXV488" s="4"/>
      <c r="FXW488" s="4"/>
      <c r="FXX488" s="4"/>
      <c r="FXY488" s="4"/>
      <c r="FXZ488" s="4"/>
      <c r="FYA488" s="4"/>
      <c r="FYB488" s="4"/>
      <c r="FYC488" s="4"/>
      <c r="FYD488" s="4"/>
      <c r="FYE488" s="4"/>
      <c r="FYF488" s="4"/>
      <c r="FYG488" s="4"/>
      <c r="FYH488" s="4"/>
      <c r="FYI488" s="4"/>
      <c r="FYJ488" s="4"/>
      <c r="FYK488" s="4"/>
      <c r="FYL488" s="4"/>
      <c r="FYM488" s="4"/>
      <c r="FYN488" s="4"/>
      <c r="FYO488" s="4"/>
      <c r="FYP488" s="4"/>
      <c r="FYQ488" s="4"/>
      <c r="FYR488" s="4"/>
      <c r="FYS488" s="4"/>
      <c r="FYT488" s="4"/>
      <c r="FYU488" s="4"/>
      <c r="FYV488" s="4"/>
      <c r="FYW488" s="4"/>
      <c r="FYX488" s="4"/>
      <c r="FYY488" s="4"/>
      <c r="FYZ488" s="4"/>
      <c r="FZA488" s="4"/>
      <c r="FZB488" s="4"/>
      <c r="FZC488" s="4"/>
      <c r="FZD488" s="4"/>
      <c r="FZE488" s="4"/>
      <c r="FZF488" s="4"/>
      <c r="FZG488" s="4"/>
      <c r="FZH488" s="4"/>
      <c r="FZI488" s="4"/>
      <c r="FZJ488" s="4"/>
      <c r="FZK488" s="4"/>
      <c r="FZL488" s="4"/>
      <c r="FZM488" s="4"/>
      <c r="FZN488" s="4"/>
      <c r="FZO488" s="4"/>
      <c r="FZP488" s="4"/>
      <c r="FZQ488" s="4"/>
      <c r="FZR488" s="4"/>
      <c r="FZS488" s="4"/>
      <c r="FZT488" s="4"/>
      <c r="FZU488" s="4"/>
      <c r="FZV488" s="4"/>
      <c r="FZW488" s="4"/>
      <c r="FZX488" s="4"/>
      <c r="FZY488" s="4"/>
      <c r="FZZ488" s="4"/>
      <c r="GAA488" s="4"/>
      <c r="GAB488" s="4"/>
      <c r="GAC488" s="4"/>
      <c r="GAD488" s="4"/>
      <c r="GAE488" s="4"/>
      <c r="GAF488" s="4"/>
      <c r="GAG488" s="4"/>
      <c r="GAH488" s="4"/>
      <c r="GAI488" s="4"/>
      <c r="GAJ488" s="4"/>
      <c r="GAK488" s="4"/>
      <c r="GAL488" s="4"/>
      <c r="GAM488" s="4"/>
      <c r="GAN488" s="4"/>
      <c r="GAO488" s="4"/>
      <c r="GAP488" s="4"/>
      <c r="GAQ488" s="4"/>
      <c r="GAR488" s="4"/>
      <c r="GAS488" s="4"/>
      <c r="GAT488" s="4"/>
      <c r="GAU488" s="4"/>
      <c r="GAV488" s="4"/>
      <c r="GAW488" s="4"/>
      <c r="GAX488" s="4"/>
      <c r="GAY488" s="4"/>
      <c r="GAZ488" s="4"/>
      <c r="GBA488" s="4"/>
      <c r="GBB488" s="4"/>
      <c r="GBC488" s="4"/>
      <c r="GBD488" s="4"/>
      <c r="GBE488" s="4"/>
      <c r="GBF488" s="4"/>
      <c r="GBG488" s="4"/>
      <c r="GBH488" s="4"/>
      <c r="GBI488" s="4"/>
      <c r="GBJ488" s="4"/>
      <c r="GBK488" s="4"/>
      <c r="GBL488" s="4"/>
      <c r="GBM488" s="4"/>
      <c r="GBN488" s="4"/>
      <c r="GBO488" s="4"/>
      <c r="GBP488" s="4"/>
      <c r="GBQ488" s="4"/>
      <c r="GBR488" s="4"/>
      <c r="GBS488" s="4"/>
      <c r="GBT488" s="4"/>
      <c r="GBU488" s="4"/>
      <c r="GBV488" s="4"/>
      <c r="GBW488" s="4"/>
      <c r="GBX488" s="4"/>
      <c r="GBY488" s="4"/>
      <c r="GBZ488" s="4"/>
      <c r="GCA488" s="4"/>
      <c r="GCB488" s="4"/>
      <c r="GCC488" s="4"/>
      <c r="GCD488" s="4"/>
      <c r="GCE488" s="4"/>
      <c r="GCF488" s="4"/>
      <c r="GCG488" s="4"/>
      <c r="GCH488" s="4"/>
      <c r="GCI488" s="4"/>
      <c r="GCJ488" s="4"/>
      <c r="GCK488" s="4"/>
      <c r="GCL488" s="4"/>
      <c r="GCM488" s="4"/>
      <c r="GCN488" s="4"/>
      <c r="GCO488" s="4"/>
      <c r="GCP488" s="4"/>
      <c r="GCQ488" s="4"/>
      <c r="GCR488" s="4"/>
      <c r="GCS488" s="4"/>
      <c r="GCT488" s="4"/>
      <c r="GCU488" s="4"/>
      <c r="GCV488" s="4"/>
      <c r="GCW488" s="4"/>
      <c r="GCX488" s="4"/>
      <c r="GCY488" s="4"/>
      <c r="GCZ488" s="4"/>
      <c r="GDA488" s="4"/>
      <c r="GDB488" s="4"/>
      <c r="GDC488" s="4"/>
      <c r="GDD488" s="4"/>
      <c r="GDE488" s="4"/>
      <c r="GDF488" s="4"/>
      <c r="GDG488" s="4"/>
      <c r="GDH488" s="4"/>
      <c r="GDI488" s="4"/>
      <c r="GDJ488" s="4"/>
      <c r="GDK488" s="4"/>
      <c r="GDL488" s="4"/>
      <c r="GDM488" s="4"/>
      <c r="GDN488" s="4"/>
      <c r="GDO488" s="4"/>
      <c r="GDP488" s="4"/>
      <c r="GDQ488" s="4"/>
      <c r="GDR488" s="4"/>
      <c r="GDS488" s="4"/>
      <c r="GDT488" s="4"/>
      <c r="GDU488" s="4"/>
      <c r="GDV488" s="4"/>
      <c r="GDW488" s="4"/>
      <c r="GDX488" s="4"/>
      <c r="GDY488" s="4"/>
      <c r="GDZ488" s="4"/>
      <c r="GEA488" s="4"/>
      <c r="GEB488" s="4"/>
      <c r="GEC488" s="4"/>
      <c r="GED488" s="4"/>
      <c r="GEE488" s="4"/>
      <c r="GEF488" s="4"/>
      <c r="GEG488" s="4"/>
      <c r="GEH488" s="4"/>
      <c r="GEI488" s="4"/>
      <c r="GEJ488" s="4"/>
      <c r="GEK488" s="4"/>
      <c r="GEL488" s="4"/>
      <c r="GEM488" s="4"/>
      <c r="GEN488" s="4"/>
      <c r="GEO488" s="4"/>
      <c r="GEP488" s="4"/>
      <c r="GEQ488" s="4"/>
      <c r="GER488" s="4"/>
      <c r="GES488" s="4"/>
      <c r="GET488" s="4"/>
      <c r="GEU488" s="4"/>
      <c r="GEV488" s="4"/>
      <c r="GEW488" s="4"/>
      <c r="GEX488" s="4"/>
      <c r="GEY488" s="4"/>
      <c r="GEZ488" s="4"/>
      <c r="GFA488" s="4"/>
      <c r="GFB488" s="4"/>
      <c r="GFC488" s="4"/>
      <c r="GFD488" s="4"/>
      <c r="GFE488" s="4"/>
      <c r="GFF488" s="4"/>
      <c r="GFG488" s="4"/>
      <c r="GFH488" s="4"/>
      <c r="GFI488" s="4"/>
      <c r="GFJ488" s="4"/>
      <c r="GFK488" s="4"/>
      <c r="GFL488" s="4"/>
      <c r="GFM488" s="4"/>
      <c r="GFN488" s="4"/>
      <c r="GFO488" s="4"/>
      <c r="GFP488" s="4"/>
      <c r="GFQ488" s="4"/>
      <c r="GFR488" s="4"/>
      <c r="GFS488" s="4"/>
      <c r="GFT488" s="4"/>
      <c r="GFU488" s="4"/>
      <c r="GFV488" s="4"/>
      <c r="GFW488" s="4"/>
      <c r="GFX488" s="4"/>
      <c r="GFY488" s="4"/>
      <c r="GFZ488" s="4"/>
      <c r="GGA488" s="4"/>
      <c r="GGB488" s="4"/>
      <c r="GGC488" s="4"/>
      <c r="GGD488" s="4"/>
      <c r="GGE488" s="4"/>
      <c r="GGF488" s="4"/>
      <c r="GGG488" s="4"/>
      <c r="GGH488" s="4"/>
      <c r="GGI488" s="4"/>
      <c r="GGJ488" s="4"/>
      <c r="GGK488" s="4"/>
      <c r="GGL488" s="4"/>
      <c r="GGM488" s="4"/>
      <c r="GGN488" s="4"/>
      <c r="GGO488" s="4"/>
      <c r="GGP488" s="4"/>
      <c r="GGQ488" s="4"/>
      <c r="GGR488" s="4"/>
      <c r="GGS488" s="4"/>
      <c r="GGT488" s="4"/>
      <c r="GGU488" s="4"/>
      <c r="GGV488" s="4"/>
      <c r="GGW488" s="4"/>
      <c r="GGX488" s="4"/>
      <c r="GGY488" s="4"/>
      <c r="GGZ488" s="4"/>
      <c r="GHA488" s="4"/>
      <c r="GHB488" s="4"/>
      <c r="GHC488" s="4"/>
      <c r="GHD488" s="4"/>
      <c r="GHE488" s="4"/>
      <c r="GHF488" s="4"/>
      <c r="GHG488" s="4"/>
      <c r="GHH488" s="4"/>
      <c r="GHI488" s="4"/>
      <c r="GHJ488" s="4"/>
      <c r="GHK488" s="4"/>
      <c r="GHL488" s="4"/>
      <c r="GHM488" s="4"/>
      <c r="GHN488" s="4"/>
      <c r="GHO488" s="4"/>
      <c r="GHP488" s="4"/>
      <c r="GHQ488" s="4"/>
      <c r="GHR488" s="4"/>
      <c r="GHS488" s="4"/>
      <c r="GHT488" s="4"/>
      <c r="GHU488" s="4"/>
      <c r="GHV488" s="4"/>
      <c r="GHW488" s="4"/>
      <c r="GHX488" s="4"/>
      <c r="GHY488" s="4"/>
      <c r="GHZ488" s="4"/>
      <c r="GIA488" s="4"/>
      <c r="GIB488" s="4"/>
      <c r="GIC488" s="4"/>
      <c r="GID488" s="4"/>
      <c r="GIE488" s="4"/>
      <c r="GIF488" s="4"/>
      <c r="GIG488" s="4"/>
      <c r="GIH488" s="4"/>
      <c r="GII488" s="4"/>
      <c r="GIJ488" s="4"/>
      <c r="GIK488" s="4"/>
      <c r="GIL488" s="4"/>
      <c r="GIM488" s="4"/>
      <c r="GIN488" s="4"/>
      <c r="GIO488" s="4"/>
      <c r="GIP488" s="4"/>
      <c r="GIQ488" s="4"/>
      <c r="GIR488" s="4"/>
      <c r="GIS488" s="4"/>
      <c r="GIT488" s="4"/>
      <c r="GIU488" s="4"/>
      <c r="GIV488" s="4"/>
      <c r="GIW488" s="4"/>
      <c r="GIX488" s="4"/>
      <c r="GIY488" s="4"/>
      <c r="GIZ488" s="4"/>
      <c r="GJA488" s="4"/>
      <c r="GJB488" s="4"/>
      <c r="GJC488" s="4"/>
      <c r="GJD488" s="4"/>
      <c r="GJE488" s="4"/>
      <c r="GJF488" s="4"/>
      <c r="GJG488" s="4"/>
      <c r="GJH488" s="4"/>
      <c r="GJI488" s="4"/>
      <c r="GJJ488" s="4"/>
      <c r="GJK488" s="4"/>
      <c r="GJL488" s="4"/>
      <c r="GJM488" s="4"/>
      <c r="GJN488" s="4"/>
      <c r="GJO488" s="4"/>
      <c r="GJP488" s="4"/>
      <c r="GJQ488" s="4"/>
      <c r="GJR488" s="4"/>
      <c r="GJS488" s="4"/>
      <c r="GJT488" s="4"/>
      <c r="GJU488" s="4"/>
      <c r="GJV488" s="4"/>
      <c r="GJW488" s="4"/>
      <c r="GJX488" s="4"/>
      <c r="GJY488" s="4"/>
      <c r="GJZ488" s="4"/>
      <c r="GKA488" s="4"/>
      <c r="GKB488" s="4"/>
      <c r="GKC488" s="4"/>
      <c r="GKD488" s="4"/>
      <c r="GKE488" s="4"/>
      <c r="GKF488" s="4"/>
      <c r="GKG488" s="4"/>
      <c r="GKH488" s="4"/>
      <c r="GKI488" s="4"/>
      <c r="GKJ488" s="4"/>
      <c r="GKK488" s="4"/>
      <c r="GKL488" s="4"/>
      <c r="GKM488" s="4"/>
      <c r="GKN488" s="4"/>
      <c r="GKO488" s="4"/>
      <c r="GKP488" s="4"/>
      <c r="GKQ488" s="4"/>
      <c r="GKR488" s="4"/>
      <c r="GKS488" s="4"/>
      <c r="GKT488" s="4"/>
      <c r="GKU488" s="4"/>
      <c r="GKV488" s="4"/>
      <c r="GKW488" s="4"/>
      <c r="GKX488" s="4"/>
      <c r="GKY488" s="4"/>
      <c r="GKZ488" s="4"/>
      <c r="GLA488" s="4"/>
      <c r="GLB488" s="4"/>
      <c r="GLC488" s="4"/>
      <c r="GLD488" s="4"/>
      <c r="GLE488" s="4"/>
      <c r="GLF488" s="4"/>
      <c r="GLG488" s="4"/>
      <c r="GLH488" s="4"/>
      <c r="GLI488" s="4"/>
      <c r="GLJ488" s="4"/>
      <c r="GLK488" s="4"/>
      <c r="GLL488" s="4"/>
      <c r="GLM488" s="4"/>
      <c r="GLN488" s="4"/>
      <c r="GLO488" s="4"/>
      <c r="GLP488" s="4"/>
      <c r="GLQ488" s="4"/>
      <c r="GLR488" s="4"/>
      <c r="GLS488" s="4"/>
      <c r="GLT488" s="4"/>
      <c r="GLU488" s="4"/>
      <c r="GLV488" s="4"/>
      <c r="GLW488" s="4"/>
      <c r="GLX488" s="4"/>
      <c r="GLY488" s="4"/>
      <c r="GLZ488" s="4"/>
      <c r="GMA488" s="4"/>
      <c r="GMB488" s="4"/>
      <c r="GMC488" s="4"/>
      <c r="GMD488" s="4"/>
      <c r="GME488" s="4"/>
      <c r="GMF488" s="4"/>
      <c r="GMG488" s="4"/>
      <c r="GMH488" s="4"/>
      <c r="GMI488" s="4"/>
      <c r="GMJ488" s="4"/>
      <c r="GMK488" s="4"/>
      <c r="GML488" s="4"/>
      <c r="GMM488" s="4"/>
      <c r="GMN488" s="4"/>
      <c r="GMO488" s="4"/>
      <c r="GMP488" s="4"/>
      <c r="GMQ488" s="4"/>
      <c r="GMR488" s="4"/>
      <c r="GMS488" s="4"/>
      <c r="GMT488" s="4"/>
      <c r="GMU488" s="4"/>
      <c r="GMV488" s="4"/>
      <c r="GMW488" s="4"/>
      <c r="GMX488" s="4"/>
      <c r="GMY488" s="4"/>
      <c r="GMZ488" s="4"/>
      <c r="GNA488" s="4"/>
      <c r="GNB488" s="4"/>
      <c r="GNC488" s="4"/>
      <c r="GND488" s="4"/>
      <c r="GNE488" s="4"/>
      <c r="GNF488" s="4"/>
      <c r="GNG488" s="4"/>
      <c r="GNH488" s="4"/>
      <c r="GNI488" s="4"/>
      <c r="GNJ488" s="4"/>
      <c r="GNK488" s="4"/>
      <c r="GNL488" s="4"/>
      <c r="GNM488" s="4"/>
      <c r="GNN488" s="4"/>
      <c r="GNO488" s="4"/>
      <c r="GNP488" s="4"/>
      <c r="GNQ488" s="4"/>
      <c r="GNR488" s="4"/>
      <c r="GNS488" s="4"/>
      <c r="GNT488" s="4"/>
      <c r="GNU488" s="4"/>
      <c r="GNV488" s="4"/>
      <c r="GNW488" s="4"/>
      <c r="GNX488" s="4"/>
      <c r="GNY488" s="4"/>
      <c r="GNZ488" s="4"/>
      <c r="GOA488" s="4"/>
      <c r="GOB488" s="4"/>
      <c r="GOC488" s="4"/>
      <c r="GOD488" s="4"/>
      <c r="GOE488" s="4"/>
      <c r="GOF488" s="4"/>
      <c r="GOG488" s="4"/>
      <c r="GOH488" s="4"/>
      <c r="GOI488" s="4"/>
      <c r="GOJ488" s="4"/>
      <c r="GOK488" s="4"/>
      <c r="GOL488" s="4"/>
      <c r="GOM488" s="4"/>
      <c r="GON488" s="4"/>
      <c r="GOO488" s="4"/>
      <c r="GOP488" s="4"/>
      <c r="GOQ488" s="4"/>
      <c r="GOR488" s="4"/>
      <c r="GOS488" s="4"/>
      <c r="GOT488" s="4"/>
      <c r="GOU488" s="4"/>
      <c r="GOV488" s="4"/>
      <c r="GOW488" s="4"/>
      <c r="GOX488" s="4"/>
      <c r="GOY488" s="4"/>
      <c r="GOZ488" s="4"/>
      <c r="GPA488" s="4"/>
      <c r="GPB488" s="4"/>
      <c r="GPC488" s="4"/>
      <c r="GPD488" s="4"/>
      <c r="GPE488" s="4"/>
      <c r="GPF488" s="4"/>
      <c r="GPG488" s="4"/>
      <c r="GPH488" s="4"/>
      <c r="GPI488" s="4"/>
      <c r="GPJ488" s="4"/>
      <c r="GPK488" s="4"/>
      <c r="GPL488" s="4"/>
      <c r="GPM488" s="4"/>
      <c r="GPN488" s="4"/>
      <c r="GPO488" s="4"/>
      <c r="GPP488" s="4"/>
      <c r="GPQ488" s="4"/>
      <c r="GPR488" s="4"/>
      <c r="GPS488" s="4"/>
      <c r="GPT488" s="4"/>
      <c r="GPU488" s="4"/>
      <c r="GPV488" s="4"/>
      <c r="GPW488" s="4"/>
      <c r="GPX488" s="4"/>
      <c r="GPY488" s="4"/>
      <c r="GPZ488" s="4"/>
      <c r="GQA488" s="4"/>
      <c r="GQB488" s="4"/>
      <c r="GQC488" s="4"/>
      <c r="GQD488" s="4"/>
      <c r="GQE488" s="4"/>
      <c r="GQF488" s="4"/>
      <c r="GQG488" s="4"/>
      <c r="GQH488" s="4"/>
      <c r="GQI488" s="4"/>
      <c r="GQJ488" s="4"/>
      <c r="GQK488" s="4"/>
      <c r="GQL488" s="4"/>
      <c r="GQM488" s="4"/>
      <c r="GQN488" s="4"/>
      <c r="GQO488" s="4"/>
      <c r="GQP488" s="4"/>
      <c r="GQQ488" s="4"/>
      <c r="GQR488" s="4"/>
      <c r="GQS488" s="4"/>
      <c r="GQT488" s="4"/>
      <c r="GQU488" s="4"/>
      <c r="GQV488" s="4"/>
      <c r="GQW488" s="4"/>
      <c r="GQX488" s="4"/>
      <c r="GQY488" s="4"/>
      <c r="GQZ488" s="4"/>
      <c r="GRA488" s="4"/>
      <c r="GRB488" s="4"/>
      <c r="GRC488" s="4"/>
      <c r="GRD488" s="4"/>
      <c r="GRE488" s="4"/>
      <c r="GRF488" s="4"/>
      <c r="GRG488" s="4"/>
      <c r="GRH488" s="4"/>
      <c r="GRI488" s="4"/>
      <c r="GRJ488" s="4"/>
      <c r="GRK488" s="4"/>
      <c r="GRL488" s="4"/>
      <c r="GRM488" s="4"/>
      <c r="GRN488" s="4"/>
      <c r="GRO488" s="4"/>
      <c r="GRP488" s="4"/>
      <c r="GRQ488" s="4"/>
      <c r="GRR488" s="4"/>
      <c r="GRS488" s="4"/>
      <c r="GRT488" s="4"/>
      <c r="GRU488" s="4"/>
      <c r="GRV488" s="4"/>
      <c r="GRW488" s="4"/>
      <c r="GRX488" s="4"/>
      <c r="GRY488" s="4"/>
      <c r="GRZ488" s="4"/>
      <c r="GSA488" s="4"/>
      <c r="GSB488" s="4"/>
      <c r="GSC488" s="4"/>
      <c r="GSD488" s="4"/>
      <c r="GSE488" s="4"/>
      <c r="GSF488" s="4"/>
      <c r="GSG488" s="4"/>
      <c r="GSH488" s="4"/>
      <c r="GSI488" s="4"/>
      <c r="GSJ488" s="4"/>
      <c r="GSK488" s="4"/>
      <c r="GSL488" s="4"/>
      <c r="GSM488" s="4"/>
      <c r="GSN488" s="4"/>
      <c r="GSO488" s="4"/>
      <c r="GSP488" s="4"/>
      <c r="GSQ488" s="4"/>
      <c r="GSR488" s="4"/>
      <c r="GSS488" s="4"/>
      <c r="GST488" s="4"/>
      <c r="GSU488" s="4"/>
      <c r="GSV488" s="4"/>
      <c r="GSW488" s="4"/>
      <c r="GSX488" s="4"/>
      <c r="GSY488" s="4"/>
      <c r="GSZ488" s="4"/>
      <c r="GTA488" s="4"/>
      <c r="GTB488" s="4"/>
      <c r="GTC488" s="4"/>
      <c r="GTD488" s="4"/>
      <c r="GTE488" s="4"/>
      <c r="GTF488" s="4"/>
      <c r="GTG488" s="4"/>
      <c r="GTH488" s="4"/>
      <c r="GTI488" s="4"/>
      <c r="GTJ488" s="4"/>
      <c r="GTK488" s="4"/>
      <c r="GTL488" s="4"/>
      <c r="GTM488" s="4"/>
      <c r="GTN488" s="4"/>
      <c r="GTO488" s="4"/>
      <c r="GTP488" s="4"/>
      <c r="GTQ488" s="4"/>
      <c r="GTR488" s="4"/>
      <c r="GTS488" s="4"/>
      <c r="GTT488" s="4"/>
      <c r="GTU488" s="4"/>
      <c r="GTV488" s="4"/>
      <c r="GTW488" s="4"/>
      <c r="GTX488" s="4"/>
      <c r="GTY488" s="4"/>
      <c r="GTZ488" s="4"/>
      <c r="GUA488" s="4"/>
      <c r="GUB488" s="4"/>
      <c r="GUC488" s="4"/>
      <c r="GUD488" s="4"/>
      <c r="GUE488" s="4"/>
      <c r="GUF488" s="4"/>
      <c r="GUG488" s="4"/>
      <c r="GUH488" s="4"/>
      <c r="GUI488" s="4"/>
      <c r="GUJ488" s="4"/>
      <c r="GUK488" s="4"/>
      <c r="GUL488" s="4"/>
      <c r="GUM488" s="4"/>
      <c r="GUN488" s="4"/>
      <c r="GUO488" s="4"/>
      <c r="GUP488" s="4"/>
      <c r="GUQ488" s="4"/>
      <c r="GUR488" s="4"/>
      <c r="GUS488" s="4"/>
      <c r="GUT488" s="4"/>
      <c r="GUU488" s="4"/>
      <c r="GUV488" s="4"/>
      <c r="GUW488" s="4"/>
      <c r="GUX488" s="4"/>
      <c r="GUY488" s="4"/>
      <c r="GUZ488" s="4"/>
      <c r="GVA488" s="4"/>
      <c r="GVB488" s="4"/>
      <c r="GVC488" s="4"/>
      <c r="GVD488" s="4"/>
      <c r="GVE488" s="4"/>
      <c r="GVF488" s="4"/>
      <c r="GVG488" s="4"/>
      <c r="GVH488" s="4"/>
      <c r="GVI488" s="4"/>
      <c r="GVJ488" s="4"/>
      <c r="GVK488" s="4"/>
      <c r="GVL488" s="4"/>
      <c r="GVM488" s="4"/>
      <c r="GVN488" s="4"/>
      <c r="GVO488" s="4"/>
      <c r="GVP488" s="4"/>
      <c r="GVQ488" s="4"/>
      <c r="GVR488" s="4"/>
      <c r="GVS488" s="4"/>
      <c r="GVT488" s="4"/>
      <c r="GVU488" s="4"/>
      <c r="GVV488" s="4"/>
      <c r="GVW488" s="4"/>
      <c r="GVX488" s="4"/>
      <c r="GVY488" s="4"/>
      <c r="GVZ488" s="4"/>
      <c r="GWA488" s="4"/>
      <c r="GWB488" s="4"/>
      <c r="GWC488" s="4"/>
      <c r="GWD488" s="4"/>
      <c r="GWE488" s="4"/>
      <c r="GWF488" s="4"/>
      <c r="GWG488" s="4"/>
      <c r="GWH488" s="4"/>
      <c r="GWI488" s="4"/>
      <c r="GWJ488" s="4"/>
      <c r="GWK488" s="4"/>
      <c r="GWL488" s="4"/>
      <c r="GWM488" s="4"/>
      <c r="GWN488" s="4"/>
      <c r="GWO488" s="4"/>
      <c r="GWP488" s="4"/>
      <c r="GWQ488" s="4"/>
      <c r="GWR488" s="4"/>
      <c r="GWS488" s="4"/>
      <c r="GWT488" s="4"/>
      <c r="GWU488" s="4"/>
      <c r="GWV488" s="4"/>
      <c r="GWW488" s="4"/>
      <c r="GWX488" s="4"/>
      <c r="GWY488" s="4"/>
      <c r="GWZ488" s="4"/>
      <c r="GXA488" s="4"/>
      <c r="GXB488" s="4"/>
      <c r="GXC488" s="4"/>
      <c r="GXD488" s="4"/>
      <c r="GXE488" s="4"/>
      <c r="GXF488" s="4"/>
      <c r="GXG488" s="4"/>
      <c r="GXH488" s="4"/>
      <c r="GXI488" s="4"/>
      <c r="GXJ488" s="4"/>
      <c r="GXK488" s="4"/>
      <c r="GXL488" s="4"/>
      <c r="GXM488" s="4"/>
      <c r="GXN488" s="4"/>
      <c r="GXO488" s="4"/>
      <c r="GXP488" s="4"/>
      <c r="GXQ488" s="4"/>
      <c r="GXR488" s="4"/>
      <c r="GXS488" s="4"/>
      <c r="GXT488" s="4"/>
      <c r="GXU488" s="4"/>
      <c r="GXV488" s="4"/>
      <c r="GXW488" s="4"/>
      <c r="GXX488" s="4"/>
      <c r="GXY488" s="4"/>
      <c r="GXZ488" s="4"/>
      <c r="GYA488" s="4"/>
      <c r="GYB488" s="4"/>
      <c r="GYC488" s="4"/>
      <c r="GYD488" s="4"/>
      <c r="GYE488" s="4"/>
      <c r="GYF488" s="4"/>
      <c r="GYG488" s="4"/>
      <c r="GYH488" s="4"/>
      <c r="GYI488" s="4"/>
      <c r="GYJ488" s="4"/>
      <c r="GYK488" s="4"/>
      <c r="GYL488" s="4"/>
      <c r="GYM488" s="4"/>
      <c r="GYN488" s="4"/>
      <c r="GYO488" s="4"/>
      <c r="GYP488" s="4"/>
      <c r="GYQ488" s="4"/>
      <c r="GYR488" s="4"/>
      <c r="GYS488" s="4"/>
      <c r="GYT488" s="4"/>
      <c r="GYU488" s="4"/>
      <c r="GYV488" s="4"/>
      <c r="GYW488" s="4"/>
      <c r="GYX488" s="4"/>
      <c r="GYY488" s="4"/>
      <c r="GYZ488" s="4"/>
      <c r="GZA488" s="4"/>
      <c r="GZB488" s="4"/>
      <c r="GZC488" s="4"/>
      <c r="GZD488" s="4"/>
      <c r="GZE488" s="4"/>
      <c r="GZF488" s="4"/>
      <c r="GZG488" s="4"/>
      <c r="GZH488" s="4"/>
      <c r="GZI488" s="4"/>
      <c r="GZJ488" s="4"/>
      <c r="GZK488" s="4"/>
      <c r="GZL488" s="4"/>
      <c r="GZM488" s="4"/>
      <c r="GZN488" s="4"/>
      <c r="GZO488" s="4"/>
      <c r="GZP488" s="4"/>
      <c r="GZQ488" s="4"/>
      <c r="GZR488" s="4"/>
      <c r="GZS488" s="4"/>
      <c r="GZT488" s="4"/>
      <c r="GZU488" s="4"/>
      <c r="GZV488" s="4"/>
      <c r="GZW488" s="4"/>
      <c r="GZX488" s="4"/>
      <c r="GZY488" s="4"/>
      <c r="GZZ488" s="4"/>
      <c r="HAA488" s="4"/>
      <c r="HAB488" s="4"/>
      <c r="HAC488" s="4"/>
      <c r="HAD488" s="4"/>
      <c r="HAE488" s="4"/>
      <c r="HAF488" s="4"/>
      <c r="HAG488" s="4"/>
      <c r="HAH488" s="4"/>
      <c r="HAI488" s="4"/>
      <c r="HAJ488" s="4"/>
      <c r="HAK488" s="4"/>
      <c r="HAL488" s="4"/>
      <c r="HAM488" s="4"/>
      <c r="HAN488" s="4"/>
      <c r="HAO488" s="4"/>
      <c r="HAP488" s="4"/>
      <c r="HAQ488" s="4"/>
      <c r="HAR488" s="4"/>
      <c r="HAS488" s="4"/>
      <c r="HAT488" s="4"/>
      <c r="HAU488" s="4"/>
      <c r="HAV488" s="4"/>
      <c r="HAW488" s="4"/>
      <c r="HAX488" s="4"/>
      <c r="HAY488" s="4"/>
      <c r="HAZ488" s="4"/>
      <c r="HBA488" s="4"/>
      <c r="HBB488" s="4"/>
      <c r="HBC488" s="4"/>
      <c r="HBD488" s="4"/>
      <c r="HBE488" s="4"/>
      <c r="HBF488" s="4"/>
      <c r="HBG488" s="4"/>
      <c r="HBH488" s="4"/>
      <c r="HBI488" s="4"/>
      <c r="HBJ488" s="4"/>
      <c r="HBK488" s="4"/>
      <c r="HBL488" s="4"/>
      <c r="HBM488" s="4"/>
      <c r="HBN488" s="4"/>
      <c r="HBO488" s="4"/>
      <c r="HBP488" s="4"/>
      <c r="HBQ488" s="4"/>
      <c r="HBR488" s="4"/>
      <c r="HBS488" s="4"/>
      <c r="HBT488" s="4"/>
      <c r="HBU488" s="4"/>
      <c r="HBV488" s="4"/>
      <c r="HBW488" s="4"/>
      <c r="HBX488" s="4"/>
      <c r="HBY488" s="4"/>
      <c r="HBZ488" s="4"/>
      <c r="HCA488" s="4"/>
      <c r="HCB488" s="4"/>
      <c r="HCC488" s="4"/>
      <c r="HCD488" s="4"/>
      <c r="HCE488" s="4"/>
      <c r="HCF488" s="4"/>
      <c r="HCG488" s="4"/>
      <c r="HCH488" s="4"/>
      <c r="HCI488" s="4"/>
      <c r="HCJ488" s="4"/>
      <c r="HCK488" s="4"/>
      <c r="HCL488" s="4"/>
      <c r="HCM488" s="4"/>
      <c r="HCN488" s="4"/>
      <c r="HCO488" s="4"/>
      <c r="HCP488" s="4"/>
      <c r="HCQ488" s="4"/>
      <c r="HCR488" s="4"/>
      <c r="HCS488" s="4"/>
      <c r="HCT488" s="4"/>
      <c r="HCU488" s="4"/>
      <c r="HCV488" s="4"/>
      <c r="HCW488" s="4"/>
      <c r="HCX488" s="4"/>
      <c r="HCY488" s="4"/>
      <c r="HCZ488" s="4"/>
      <c r="HDA488" s="4"/>
      <c r="HDB488" s="4"/>
      <c r="HDC488" s="4"/>
      <c r="HDD488" s="4"/>
      <c r="HDE488" s="4"/>
      <c r="HDF488" s="4"/>
      <c r="HDG488" s="4"/>
      <c r="HDH488" s="4"/>
      <c r="HDI488" s="4"/>
      <c r="HDJ488" s="4"/>
      <c r="HDK488" s="4"/>
      <c r="HDL488" s="4"/>
      <c r="HDM488" s="4"/>
      <c r="HDN488" s="4"/>
      <c r="HDO488" s="4"/>
      <c r="HDP488" s="4"/>
      <c r="HDQ488" s="4"/>
      <c r="HDR488" s="4"/>
      <c r="HDS488" s="4"/>
      <c r="HDT488" s="4"/>
      <c r="HDU488" s="4"/>
      <c r="HDV488" s="4"/>
      <c r="HDW488" s="4"/>
      <c r="HDX488" s="4"/>
      <c r="HDY488" s="4"/>
      <c r="HDZ488" s="4"/>
      <c r="HEA488" s="4"/>
      <c r="HEB488" s="4"/>
      <c r="HEC488" s="4"/>
      <c r="HED488" s="4"/>
      <c r="HEE488" s="4"/>
      <c r="HEF488" s="4"/>
      <c r="HEG488" s="4"/>
      <c r="HEH488" s="4"/>
      <c r="HEI488" s="4"/>
      <c r="HEJ488" s="4"/>
      <c r="HEK488" s="4"/>
      <c r="HEL488" s="4"/>
      <c r="HEM488" s="4"/>
      <c r="HEN488" s="4"/>
      <c r="HEO488" s="4"/>
      <c r="HEP488" s="4"/>
      <c r="HEQ488" s="4"/>
      <c r="HER488" s="4"/>
      <c r="HES488" s="4"/>
      <c r="HET488" s="4"/>
      <c r="HEU488" s="4"/>
      <c r="HEV488" s="4"/>
      <c r="HEW488" s="4"/>
      <c r="HEX488" s="4"/>
      <c r="HEY488" s="4"/>
      <c r="HEZ488" s="4"/>
      <c r="HFA488" s="4"/>
      <c r="HFB488" s="4"/>
      <c r="HFC488" s="4"/>
      <c r="HFD488" s="4"/>
      <c r="HFE488" s="4"/>
      <c r="HFF488" s="4"/>
      <c r="HFG488" s="4"/>
      <c r="HFH488" s="4"/>
      <c r="HFI488" s="4"/>
      <c r="HFJ488" s="4"/>
      <c r="HFK488" s="4"/>
      <c r="HFL488" s="4"/>
      <c r="HFM488" s="4"/>
      <c r="HFN488" s="4"/>
      <c r="HFO488" s="4"/>
      <c r="HFP488" s="4"/>
      <c r="HFQ488" s="4"/>
      <c r="HFR488" s="4"/>
      <c r="HFS488" s="4"/>
      <c r="HFT488" s="4"/>
      <c r="HFU488" s="4"/>
      <c r="HFV488" s="4"/>
      <c r="HFW488" s="4"/>
      <c r="HFX488" s="4"/>
      <c r="HFY488" s="4"/>
      <c r="HFZ488" s="4"/>
      <c r="HGA488" s="4"/>
      <c r="HGB488" s="4"/>
      <c r="HGC488" s="4"/>
      <c r="HGD488" s="4"/>
      <c r="HGE488" s="4"/>
      <c r="HGF488" s="4"/>
      <c r="HGG488" s="4"/>
      <c r="HGH488" s="4"/>
      <c r="HGI488" s="4"/>
      <c r="HGJ488" s="4"/>
      <c r="HGK488" s="4"/>
      <c r="HGL488" s="4"/>
      <c r="HGM488" s="4"/>
      <c r="HGN488" s="4"/>
      <c r="HGO488" s="4"/>
      <c r="HGP488" s="4"/>
      <c r="HGQ488" s="4"/>
      <c r="HGR488" s="4"/>
      <c r="HGS488" s="4"/>
      <c r="HGT488" s="4"/>
      <c r="HGU488" s="4"/>
      <c r="HGV488" s="4"/>
      <c r="HGW488" s="4"/>
      <c r="HGX488" s="4"/>
      <c r="HGY488" s="4"/>
      <c r="HGZ488" s="4"/>
      <c r="HHA488" s="4"/>
      <c r="HHB488" s="4"/>
      <c r="HHC488" s="4"/>
      <c r="HHD488" s="4"/>
      <c r="HHE488" s="4"/>
      <c r="HHF488" s="4"/>
      <c r="HHG488" s="4"/>
      <c r="HHH488" s="4"/>
      <c r="HHI488" s="4"/>
      <c r="HHJ488" s="4"/>
      <c r="HHK488" s="4"/>
      <c r="HHL488" s="4"/>
      <c r="HHM488" s="4"/>
      <c r="HHN488" s="4"/>
      <c r="HHO488" s="4"/>
      <c r="HHP488" s="4"/>
      <c r="HHQ488" s="4"/>
      <c r="HHR488" s="4"/>
      <c r="HHS488" s="4"/>
      <c r="HHT488" s="4"/>
      <c r="HHU488" s="4"/>
      <c r="HHV488" s="4"/>
      <c r="HHW488" s="4"/>
      <c r="HHX488" s="4"/>
      <c r="HHY488" s="4"/>
      <c r="HHZ488" s="4"/>
      <c r="HIA488" s="4"/>
      <c r="HIB488" s="4"/>
      <c r="HIC488" s="4"/>
      <c r="HID488" s="4"/>
      <c r="HIE488" s="4"/>
      <c r="HIF488" s="4"/>
      <c r="HIG488" s="4"/>
      <c r="HIH488" s="4"/>
      <c r="HII488" s="4"/>
      <c r="HIJ488" s="4"/>
      <c r="HIK488" s="4"/>
      <c r="HIL488" s="4"/>
      <c r="HIM488" s="4"/>
      <c r="HIN488" s="4"/>
      <c r="HIO488" s="4"/>
      <c r="HIP488" s="4"/>
      <c r="HIQ488" s="4"/>
      <c r="HIR488" s="4"/>
      <c r="HIS488" s="4"/>
      <c r="HIT488" s="4"/>
      <c r="HIU488" s="4"/>
      <c r="HIV488" s="4"/>
      <c r="HIW488" s="4"/>
      <c r="HIX488" s="4"/>
      <c r="HIY488" s="4"/>
      <c r="HIZ488" s="4"/>
      <c r="HJA488" s="4"/>
      <c r="HJB488" s="4"/>
      <c r="HJC488" s="4"/>
      <c r="HJD488" s="4"/>
      <c r="HJE488" s="4"/>
      <c r="HJF488" s="4"/>
      <c r="HJG488" s="4"/>
      <c r="HJH488" s="4"/>
      <c r="HJI488" s="4"/>
      <c r="HJJ488" s="4"/>
      <c r="HJK488" s="4"/>
      <c r="HJL488" s="4"/>
      <c r="HJM488" s="4"/>
      <c r="HJN488" s="4"/>
      <c r="HJO488" s="4"/>
      <c r="HJP488" s="4"/>
      <c r="HJQ488" s="4"/>
      <c r="HJR488" s="4"/>
      <c r="HJS488" s="4"/>
      <c r="HJT488" s="4"/>
      <c r="HJU488" s="4"/>
      <c r="HJV488" s="4"/>
      <c r="HJW488" s="4"/>
      <c r="HJX488" s="4"/>
      <c r="HJY488" s="4"/>
      <c r="HJZ488" s="4"/>
      <c r="HKA488" s="4"/>
      <c r="HKB488" s="4"/>
      <c r="HKC488" s="4"/>
      <c r="HKD488" s="4"/>
      <c r="HKE488" s="4"/>
      <c r="HKF488" s="4"/>
      <c r="HKG488" s="4"/>
      <c r="HKH488" s="4"/>
      <c r="HKI488" s="4"/>
      <c r="HKJ488" s="4"/>
      <c r="HKK488" s="4"/>
      <c r="HKL488" s="4"/>
      <c r="HKM488" s="4"/>
      <c r="HKN488" s="4"/>
      <c r="HKO488" s="4"/>
      <c r="HKP488" s="4"/>
      <c r="HKQ488" s="4"/>
      <c r="HKR488" s="4"/>
      <c r="HKS488" s="4"/>
      <c r="HKT488" s="4"/>
      <c r="HKU488" s="4"/>
      <c r="HKV488" s="4"/>
      <c r="HKW488" s="4"/>
      <c r="HKX488" s="4"/>
      <c r="HKY488" s="4"/>
      <c r="HKZ488" s="4"/>
      <c r="HLA488" s="4"/>
      <c r="HLB488" s="4"/>
      <c r="HLC488" s="4"/>
      <c r="HLD488" s="4"/>
      <c r="HLE488" s="4"/>
      <c r="HLF488" s="4"/>
      <c r="HLG488" s="4"/>
      <c r="HLH488" s="4"/>
      <c r="HLI488" s="4"/>
      <c r="HLJ488" s="4"/>
      <c r="HLK488" s="4"/>
      <c r="HLL488" s="4"/>
      <c r="HLM488" s="4"/>
      <c r="HLN488" s="4"/>
      <c r="HLO488" s="4"/>
      <c r="HLP488" s="4"/>
      <c r="HLQ488" s="4"/>
      <c r="HLR488" s="4"/>
      <c r="HLS488" s="4"/>
      <c r="HLT488" s="4"/>
      <c r="HLU488" s="4"/>
      <c r="HLV488" s="4"/>
      <c r="HLW488" s="4"/>
      <c r="HLX488" s="4"/>
      <c r="HLY488" s="4"/>
      <c r="HLZ488" s="4"/>
      <c r="HMA488" s="4"/>
      <c r="HMB488" s="4"/>
      <c r="HMC488" s="4"/>
      <c r="HMD488" s="4"/>
      <c r="HME488" s="4"/>
      <c r="HMF488" s="4"/>
      <c r="HMG488" s="4"/>
      <c r="HMH488" s="4"/>
      <c r="HMI488" s="4"/>
      <c r="HMJ488" s="4"/>
      <c r="HMK488" s="4"/>
      <c r="HML488" s="4"/>
      <c r="HMM488" s="4"/>
      <c r="HMN488" s="4"/>
      <c r="HMO488" s="4"/>
      <c r="HMP488" s="4"/>
      <c r="HMQ488" s="4"/>
      <c r="HMR488" s="4"/>
      <c r="HMS488" s="4"/>
      <c r="HMT488" s="4"/>
      <c r="HMU488" s="4"/>
      <c r="HMV488" s="4"/>
      <c r="HMW488" s="4"/>
      <c r="HMX488" s="4"/>
      <c r="HMY488" s="4"/>
      <c r="HMZ488" s="4"/>
      <c r="HNA488" s="4"/>
      <c r="HNB488" s="4"/>
      <c r="HNC488" s="4"/>
      <c r="HND488" s="4"/>
      <c r="HNE488" s="4"/>
      <c r="HNF488" s="4"/>
      <c r="HNG488" s="4"/>
      <c r="HNH488" s="4"/>
      <c r="HNI488" s="4"/>
      <c r="HNJ488" s="4"/>
      <c r="HNK488" s="4"/>
      <c r="HNL488" s="4"/>
      <c r="HNM488" s="4"/>
      <c r="HNN488" s="4"/>
      <c r="HNO488" s="4"/>
      <c r="HNP488" s="4"/>
      <c r="HNQ488" s="4"/>
      <c r="HNR488" s="4"/>
      <c r="HNS488" s="4"/>
      <c r="HNT488" s="4"/>
      <c r="HNU488" s="4"/>
      <c r="HNV488" s="4"/>
      <c r="HNW488" s="4"/>
      <c r="HNX488" s="4"/>
      <c r="HNY488" s="4"/>
      <c r="HNZ488" s="4"/>
      <c r="HOA488" s="4"/>
      <c r="HOB488" s="4"/>
      <c r="HOC488" s="4"/>
      <c r="HOD488" s="4"/>
      <c r="HOE488" s="4"/>
      <c r="HOF488" s="4"/>
      <c r="HOG488" s="4"/>
      <c r="HOH488" s="4"/>
      <c r="HOI488" s="4"/>
      <c r="HOJ488" s="4"/>
      <c r="HOK488" s="4"/>
      <c r="HOL488" s="4"/>
      <c r="HOM488" s="4"/>
      <c r="HON488" s="4"/>
      <c r="HOO488" s="4"/>
      <c r="HOP488" s="4"/>
      <c r="HOQ488" s="4"/>
      <c r="HOR488" s="4"/>
      <c r="HOS488" s="4"/>
      <c r="HOT488" s="4"/>
      <c r="HOU488" s="4"/>
      <c r="HOV488" s="4"/>
      <c r="HOW488" s="4"/>
      <c r="HOX488" s="4"/>
      <c r="HOY488" s="4"/>
      <c r="HOZ488" s="4"/>
      <c r="HPA488" s="4"/>
      <c r="HPB488" s="4"/>
      <c r="HPC488" s="4"/>
      <c r="HPD488" s="4"/>
      <c r="HPE488" s="4"/>
      <c r="HPF488" s="4"/>
      <c r="HPG488" s="4"/>
      <c r="HPH488" s="4"/>
      <c r="HPI488" s="4"/>
      <c r="HPJ488" s="4"/>
      <c r="HPK488" s="4"/>
      <c r="HPL488" s="4"/>
      <c r="HPM488" s="4"/>
      <c r="HPN488" s="4"/>
      <c r="HPO488" s="4"/>
      <c r="HPP488" s="4"/>
      <c r="HPQ488" s="4"/>
      <c r="HPR488" s="4"/>
      <c r="HPS488" s="4"/>
      <c r="HPT488" s="4"/>
      <c r="HPU488" s="4"/>
      <c r="HPV488" s="4"/>
      <c r="HPW488" s="4"/>
      <c r="HPX488" s="4"/>
      <c r="HPY488" s="4"/>
      <c r="HPZ488" s="4"/>
      <c r="HQA488" s="4"/>
      <c r="HQB488" s="4"/>
      <c r="HQC488" s="4"/>
      <c r="HQD488" s="4"/>
      <c r="HQE488" s="4"/>
      <c r="HQF488" s="4"/>
      <c r="HQG488" s="4"/>
      <c r="HQH488" s="4"/>
      <c r="HQI488" s="4"/>
      <c r="HQJ488" s="4"/>
      <c r="HQK488" s="4"/>
      <c r="HQL488" s="4"/>
      <c r="HQM488" s="4"/>
      <c r="HQN488" s="4"/>
      <c r="HQO488" s="4"/>
      <c r="HQP488" s="4"/>
      <c r="HQQ488" s="4"/>
      <c r="HQR488" s="4"/>
      <c r="HQS488" s="4"/>
      <c r="HQT488" s="4"/>
      <c r="HQU488" s="4"/>
      <c r="HQV488" s="4"/>
      <c r="HQW488" s="4"/>
      <c r="HQX488" s="4"/>
      <c r="HQY488" s="4"/>
      <c r="HQZ488" s="4"/>
      <c r="HRA488" s="4"/>
      <c r="HRB488" s="4"/>
      <c r="HRC488" s="4"/>
      <c r="HRD488" s="4"/>
      <c r="HRE488" s="4"/>
      <c r="HRF488" s="4"/>
      <c r="HRG488" s="4"/>
      <c r="HRH488" s="4"/>
      <c r="HRI488" s="4"/>
      <c r="HRJ488" s="4"/>
      <c r="HRK488" s="4"/>
      <c r="HRL488" s="4"/>
      <c r="HRM488" s="4"/>
      <c r="HRN488" s="4"/>
      <c r="HRO488" s="4"/>
      <c r="HRP488" s="4"/>
      <c r="HRQ488" s="4"/>
      <c r="HRR488" s="4"/>
      <c r="HRS488" s="4"/>
      <c r="HRT488" s="4"/>
      <c r="HRU488" s="4"/>
      <c r="HRV488" s="4"/>
      <c r="HRW488" s="4"/>
      <c r="HRX488" s="4"/>
      <c r="HRY488" s="4"/>
      <c r="HRZ488" s="4"/>
      <c r="HSA488" s="4"/>
      <c r="HSB488" s="4"/>
      <c r="HSC488" s="4"/>
      <c r="HSD488" s="4"/>
      <c r="HSE488" s="4"/>
      <c r="HSF488" s="4"/>
      <c r="HSG488" s="4"/>
      <c r="HSH488" s="4"/>
      <c r="HSI488" s="4"/>
      <c r="HSJ488" s="4"/>
      <c r="HSK488" s="4"/>
      <c r="HSL488" s="4"/>
      <c r="HSM488" s="4"/>
      <c r="HSN488" s="4"/>
      <c r="HSO488" s="4"/>
      <c r="HSP488" s="4"/>
      <c r="HSQ488" s="4"/>
      <c r="HSR488" s="4"/>
      <c r="HSS488" s="4"/>
      <c r="HST488" s="4"/>
      <c r="HSU488" s="4"/>
      <c r="HSV488" s="4"/>
      <c r="HSW488" s="4"/>
      <c r="HSX488" s="4"/>
      <c r="HSY488" s="4"/>
      <c r="HSZ488" s="4"/>
      <c r="HTA488" s="4"/>
      <c r="HTB488" s="4"/>
      <c r="HTC488" s="4"/>
      <c r="HTD488" s="4"/>
      <c r="HTE488" s="4"/>
      <c r="HTF488" s="4"/>
      <c r="HTG488" s="4"/>
      <c r="HTH488" s="4"/>
      <c r="HTI488" s="4"/>
      <c r="HTJ488" s="4"/>
      <c r="HTK488" s="4"/>
      <c r="HTL488" s="4"/>
      <c r="HTM488" s="4"/>
      <c r="HTN488" s="4"/>
      <c r="HTO488" s="4"/>
      <c r="HTP488" s="4"/>
      <c r="HTQ488" s="4"/>
      <c r="HTR488" s="4"/>
      <c r="HTS488" s="4"/>
      <c r="HTT488" s="4"/>
      <c r="HTU488" s="4"/>
      <c r="HTV488" s="4"/>
      <c r="HTW488" s="4"/>
      <c r="HTX488" s="4"/>
      <c r="HTY488" s="4"/>
      <c r="HTZ488" s="4"/>
      <c r="HUA488" s="4"/>
      <c r="HUB488" s="4"/>
      <c r="HUC488" s="4"/>
      <c r="HUD488" s="4"/>
      <c r="HUE488" s="4"/>
      <c r="HUF488" s="4"/>
      <c r="HUG488" s="4"/>
      <c r="HUH488" s="4"/>
      <c r="HUI488" s="4"/>
      <c r="HUJ488" s="4"/>
      <c r="HUK488" s="4"/>
      <c r="HUL488" s="4"/>
      <c r="HUM488" s="4"/>
      <c r="HUN488" s="4"/>
      <c r="HUO488" s="4"/>
      <c r="HUP488" s="4"/>
      <c r="HUQ488" s="4"/>
      <c r="HUR488" s="4"/>
      <c r="HUS488" s="4"/>
      <c r="HUT488" s="4"/>
      <c r="HUU488" s="4"/>
      <c r="HUV488" s="4"/>
      <c r="HUW488" s="4"/>
      <c r="HUX488" s="4"/>
      <c r="HUY488" s="4"/>
      <c r="HUZ488" s="4"/>
      <c r="HVA488" s="4"/>
      <c r="HVB488" s="4"/>
      <c r="HVC488" s="4"/>
      <c r="HVD488" s="4"/>
      <c r="HVE488" s="4"/>
      <c r="HVF488" s="4"/>
      <c r="HVG488" s="4"/>
      <c r="HVH488" s="4"/>
      <c r="HVI488" s="4"/>
      <c r="HVJ488" s="4"/>
      <c r="HVK488" s="4"/>
      <c r="HVL488" s="4"/>
      <c r="HVM488" s="4"/>
      <c r="HVN488" s="4"/>
      <c r="HVO488" s="4"/>
      <c r="HVP488" s="4"/>
      <c r="HVQ488" s="4"/>
      <c r="HVR488" s="4"/>
      <c r="HVS488" s="4"/>
      <c r="HVT488" s="4"/>
      <c r="HVU488" s="4"/>
      <c r="HVV488" s="4"/>
      <c r="HVW488" s="4"/>
      <c r="HVX488" s="4"/>
      <c r="HVY488" s="4"/>
      <c r="HVZ488" s="4"/>
      <c r="HWA488" s="4"/>
      <c r="HWB488" s="4"/>
      <c r="HWC488" s="4"/>
      <c r="HWD488" s="4"/>
      <c r="HWE488" s="4"/>
      <c r="HWF488" s="4"/>
      <c r="HWG488" s="4"/>
      <c r="HWH488" s="4"/>
      <c r="HWI488" s="4"/>
      <c r="HWJ488" s="4"/>
      <c r="HWK488" s="4"/>
      <c r="HWL488" s="4"/>
      <c r="HWM488" s="4"/>
      <c r="HWN488" s="4"/>
      <c r="HWO488" s="4"/>
      <c r="HWP488" s="4"/>
      <c r="HWQ488" s="4"/>
      <c r="HWR488" s="4"/>
      <c r="HWS488" s="4"/>
      <c r="HWT488" s="4"/>
      <c r="HWU488" s="4"/>
      <c r="HWV488" s="4"/>
      <c r="HWW488" s="4"/>
      <c r="HWX488" s="4"/>
      <c r="HWY488" s="4"/>
      <c r="HWZ488" s="4"/>
      <c r="HXA488" s="4"/>
      <c r="HXB488" s="4"/>
      <c r="HXC488" s="4"/>
      <c r="HXD488" s="4"/>
      <c r="HXE488" s="4"/>
      <c r="HXF488" s="4"/>
      <c r="HXG488" s="4"/>
      <c r="HXH488" s="4"/>
      <c r="HXI488" s="4"/>
      <c r="HXJ488" s="4"/>
      <c r="HXK488" s="4"/>
      <c r="HXL488" s="4"/>
      <c r="HXM488" s="4"/>
      <c r="HXN488" s="4"/>
      <c r="HXO488" s="4"/>
      <c r="HXP488" s="4"/>
      <c r="HXQ488" s="4"/>
      <c r="HXR488" s="4"/>
      <c r="HXS488" s="4"/>
      <c r="HXT488" s="4"/>
      <c r="HXU488" s="4"/>
      <c r="HXV488" s="4"/>
      <c r="HXW488" s="4"/>
      <c r="HXX488" s="4"/>
      <c r="HXY488" s="4"/>
      <c r="HXZ488" s="4"/>
      <c r="HYA488" s="4"/>
      <c r="HYB488" s="4"/>
      <c r="HYC488" s="4"/>
      <c r="HYD488" s="4"/>
      <c r="HYE488" s="4"/>
      <c r="HYF488" s="4"/>
      <c r="HYG488" s="4"/>
      <c r="HYH488" s="4"/>
      <c r="HYI488" s="4"/>
      <c r="HYJ488" s="4"/>
      <c r="HYK488" s="4"/>
      <c r="HYL488" s="4"/>
      <c r="HYM488" s="4"/>
      <c r="HYN488" s="4"/>
      <c r="HYO488" s="4"/>
      <c r="HYP488" s="4"/>
      <c r="HYQ488" s="4"/>
      <c r="HYR488" s="4"/>
      <c r="HYS488" s="4"/>
      <c r="HYT488" s="4"/>
      <c r="HYU488" s="4"/>
      <c r="HYV488" s="4"/>
      <c r="HYW488" s="4"/>
      <c r="HYX488" s="4"/>
      <c r="HYY488" s="4"/>
      <c r="HYZ488" s="4"/>
      <c r="HZA488" s="4"/>
      <c r="HZB488" s="4"/>
      <c r="HZC488" s="4"/>
      <c r="HZD488" s="4"/>
      <c r="HZE488" s="4"/>
      <c r="HZF488" s="4"/>
      <c r="HZG488" s="4"/>
      <c r="HZH488" s="4"/>
      <c r="HZI488" s="4"/>
      <c r="HZJ488" s="4"/>
      <c r="HZK488" s="4"/>
      <c r="HZL488" s="4"/>
      <c r="HZM488" s="4"/>
      <c r="HZN488" s="4"/>
      <c r="HZO488" s="4"/>
      <c r="HZP488" s="4"/>
      <c r="HZQ488" s="4"/>
      <c r="HZR488" s="4"/>
      <c r="HZS488" s="4"/>
      <c r="HZT488" s="4"/>
      <c r="HZU488" s="4"/>
      <c r="HZV488" s="4"/>
      <c r="HZW488" s="4"/>
      <c r="HZX488" s="4"/>
      <c r="HZY488" s="4"/>
      <c r="HZZ488" s="4"/>
      <c r="IAA488" s="4"/>
      <c r="IAB488" s="4"/>
      <c r="IAC488" s="4"/>
      <c r="IAD488" s="4"/>
      <c r="IAE488" s="4"/>
      <c r="IAF488" s="4"/>
      <c r="IAG488" s="4"/>
      <c r="IAH488" s="4"/>
      <c r="IAI488" s="4"/>
      <c r="IAJ488" s="4"/>
      <c r="IAK488" s="4"/>
      <c r="IAL488" s="4"/>
      <c r="IAM488" s="4"/>
      <c r="IAN488" s="4"/>
      <c r="IAO488" s="4"/>
      <c r="IAP488" s="4"/>
      <c r="IAQ488" s="4"/>
      <c r="IAR488" s="4"/>
      <c r="IAS488" s="4"/>
      <c r="IAT488" s="4"/>
      <c r="IAU488" s="4"/>
      <c r="IAV488" s="4"/>
      <c r="IAW488" s="4"/>
      <c r="IAX488" s="4"/>
      <c r="IAY488" s="4"/>
      <c r="IAZ488" s="4"/>
      <c r="IBA488" s="4"/>
      <c r="IBB488" s="4"/>
      <c r="IBC488" s="4"/>
      <c r="IBD488" s="4"/>
      <c r="IBE488" s="4"/>
      <c r="IBF488" s="4"/>
      <c r="IBG488" s="4"/>
      <c r="IBH488" s="4"/>
      <c r="IBI488" s="4"/>
      <c r="IBJ488" s="4"/>
      <c r="IBK488" s="4"/>
      <c r="IBL488" s="4"/>
      <c r="IBM488" s="4"/>
      <c r="IBN488" s="4"/>
      <c r="IBO488" s="4"/>
      <c r="IBP488" s="4"/>
      <c r="IBQ488" s="4"/>
      <c r="IBR488" s="4"/>
      <c r="IBS488" s="4"/>
      <c r="IBT488" s="4"/>
      <c r="IBU488" s="4"/>
      <c r="IBV488" s="4"/>
      <c r="IBW488" s="4"/>
      <c r="IBX488" s="4"/>
      <c r="IBY488" s="4"/>
      <c r="IBZ488" s="4"/>
      <c r="ICA488" s="4"/>
      <c r="ICB488" s="4"/>
      <c r="ICC488" s="4"/>
      <c r="ICD488" s="4"/>
      <c r="ICE488" s="4"/>
      <c r="ICF488" s="4"/>
      <c r="ICG488" s="4"/>
      <c r="ICH488" s="4"/>
      <c r="ICI488" s="4"/>
      <c r="ICJ488" s="4"/>
      <c r="ICK488" s="4"/>
      <c r="ICL488" s="4"/>
      <c r="ICM488" s="4"/>
      <c r="ICN488" s="4"/>
      <c r="ICO488" s="4"/>
      <c r="ICP488" s="4"/>
      <c r="ICQ488" s="4"/>
      <c r="ICR488" s="4"/>
      <c r="ICS488" s="4"/>
      <c r="ICT488" s="4"/>
      <c r="ICU488" s="4"/>
      <c r="ICV488" s="4"/>
      <c r="ICW488" s="4"/>
      <c r="ICX488" s="4"/>
      <c r="ICY488" s="4"/>
      <c r="ICZ488" s="4"/>
      <c r="IDA488" s="4"/>
      <c r="IDB488" s="4"/>
      <c r="IDC488" s="4"/>
      <c r="IDD488" s="4"/>
      <c r="IDE488" s="4"/>
      <c r="IDF488" s="4"/>
      <c r="IDG488" s="4"/>
      <c r="IDH488" s="4"/>
      <c r="IDI488" s="4"/>
      <c r="IDJ488" s="4"/>
      <c r="IDK488" s="4"/>
      <c r="IDL488" s="4"/>
      <c r="IDM488" s="4"/>
      <c r="IDN488" s="4"/>
      <c r="IDO488" s="4"/>
      <c r="IDP488" s="4"/>
      <c r="IDQ488" s="4"/>
      <c r="IDR488" s="4"/>
      <c r="IDS488" s="4"/>
      <c r="IDT488" s="4"/>
      <c r="IDU488" s="4"/>
      <c r="IDV488" s="4"/>
      <c r="IDW488" s="4"/>
      <c r="IDX488" s="4"/>
      <c r="IDY488" s="4"/>
      <c r="IDZ488" s="4"/>
      <c r="IEA488" s="4"/>
      <c r="IEB488" s="4"/>
      <c r="IEC488" s="4"/>
      <c r="IED488" s="4"/>
      <c r="IEE488" s="4"/>
      <c r="IEF488" s="4"/>
      <c r="IEG488" s="4"/>
      <c r="IEH488" s="4"/>
      <c r="IEI488" s="4"/>
      <c r="IEJ488" s="4"/>
      <c r="IEK488" s="4"/>
      <c r="IEL488" s="4"/>
      <c r="IEM488" s="4"/>
      <c r="IEN488" s="4"/>
      <c r="IEO488" s="4"/>
      <c r="IEP488" s="4"/>
      <c r="IEQ488" s="4"/>
      <c r="IER488" s="4"/>
      <c r="IES488" s="4"/>
      <c r="IET488" s="4"/>
      <c r="IEU488" s="4"/>
      <c r="IEV488" s="4"/>
      <c r="IEW488" s="4"/>
      <c r="IEX488" s="4"/>
      <c r="IEY488" s="4"/>
      <c r="IEZ488" s="4"/>
      <c r="IFA488" s="4"/>
      <c r="IFB488" s="4"/>
      <c r="IFC488" s="4"/>
      <c r="IFD488" s="4"/>
      <c r="IFE488" s="4"/>
      <c r="IFF488" s="4"/>
      <c r="IFG488" s="4"/>
      <c r="IFH488" s="4"/>
      <c r="IFI488" s="4"/>
      <c r="IFJ488" s="4"/>
      <c r="IFK488" s="4"/>
      <c r="IFL488" s="4"/>
      <c r="IFM488" s="4"/>
      <c r="IFN488" s="4"/>
      <c r="IFO488" s="4"/>
      <c r="IFP488" s="4"/>
      <c r="IFQ488" s="4"/>
      <c r="IFR488" s="4"/>
      <c r="IFS488" s="4"/>
      <c r="IFT488" s="4"/>
      <c r="IFU488" s="4"/>
      <c r="IFV488" s="4"/>
      <c r="IFW488" s="4"/>
      <c r="IFX488" s="4"/>
      <c r="IFY488" s="4"/>
      <c r="IFZ488" s="4"/>
      <c r="IGA488" s="4"/>
      <c r="IGB488" s="4"/>
      <c r="IGC488" s="4"/>
      <c r="IGD488" s="4"/>
      <c r="IGE488" s="4"/>
      <c r="IGF488" s="4"/>
      <c r="IGG488" s="4"/>
      <c r="IGH488" s="4"/>
      <c r="IGI488" s="4"/>
      <c r="IGJ488" s="4"/>
      <c r="IGK488" s="4"/>
      <c r="IGL488" s="4"/>
      <c r="IGM488" s="4"/>
      <c r="IGN488" s="4"/>
      <c r="IGO488" s="4"/>
      <c r="IGP488" s="4"/>
      <c r="IGQ488" s="4"/>
      <c r="IGR488" s="4"/>
      <c r="IGS488" s="4"/>
      <c r="IGT488" s="4"/>
      <c r="IGU488" s="4"/>
      <c r="IGV488" s="4"/>
      <c r="IGW488" s="4"/>
      <c r="IGX488" s="4"/>
      <c r="IGY488" s="4"/>
      <c r="IGZ488" s="4"/>
      <c r="IHA488" s="4"/>
      <c r="IHB488" s="4"/>
      <c r="IHC488" s="4"/>
      <c r="IHD488" s="4"/>
      <c r="IHE488" s="4"/>
      <c r="IHF488" s="4"/>
      <c r="IHG488" s="4"/>
      <c r="IHH488" s="4"/>
      <c r="IHI488" s="4"/>
      <c r="IHJ488" s="4"/>
      <c r="IHK488" s="4"/>
      <c r="IHL488" s="4"/>
      <c r="IHM488" s="4"/>
      <c r="IHN488" s="4"/>
      <c r="IHO488" s="4"/>
      <c r="IHP488" s="4"/>
      <c r="IHQ488" s="4"/>
      <c r="IHR488" s="4"/>
      <c r="IHS488" s="4"/>
      <c r="IHT488" s="4"/>
      <c r="IHU488" s="4"/>
      <c r="IHV488" s="4"/>
      <c r="IHW488" s="4"/>
      <c r="IHX488" s="4"/>
      <c r="IHY488" s="4"/>
      <c r="IHZ488" s="4"/>
      <c r="IIA488" s="4"/>
      <c r="IIB488" s="4"/>
      <c r="IIC488" s="4"/>
      <c r="IID488" s="4"/>
      <c r="IIE488" s="4"/>
      <c r="IIF488" s="4"/>
      <c r="IIG488" s="4"/>
      <c r="IIH488" s="4"/>
      <c r="III488" s="4"/>
      <c r="IIJ488" s="4"/>
      <c r="IIK488" s="4"/>
      <c r="IIL488" s="4"/>
      <c r="IIM488" s="4"/>
      <c r="IIN488" s="4"/>
      <c r="IIO488" s="4"/>
      <c r="IIP488" s="4"/>
      <c r="IIQ488" s="4"/>
      <c r="IIR488" s="4"/>
      <c r="IIS488" s="4"/>
      <c r="IIT488" s="4"/>
      <c r="IIU488" s="4"/>
      <c r="IIV488" s="4"/>
      <c r="IIW488" s="4"/>
      <c r="IIX488" s="4"/>
      <c r="IIY488" s="4"/>
      <c r="IIZ488" s="4"/>
      <c r="IJA488" s="4"/>
      <c r="IJB488" s="4"/>
      <c r="IJC488" s="4"/>
      <c r="IJD488" s="4"/>
      <c r="IJE488" s="4"/>
      <c r="IJF488" s="4"/>
      <c r="IJG488" s="4"/>
      <c r="IJH488" s="4"/>
      <c r="IJI488" s="4"/>
      <c r="IJJ488" s="4"/>
      <c r="IJK488" s="4"/>
      <c r="IJL488" s="4"/>
      <c r="IJM488" s="4"/>
      <c r="IJN488" s="4"/>
      <c r="IJO488" s="4"/>
      <c r="IJP488" s="4"/>
      <c r="IJQ488" s="4"/>
      <c r="IJR488" s="4"/>
      <c r="IJS488" s="4"/>
      <c r="IJT488" s="4"/>
      <c r="IJU488" s="4"/>
      <c r="IJV488" s="4"/>
      <c r="IJW488" s="4"/>
      <c r="IJX488" s="4"/>
      <c r="IJY488" s="4"/>
      <c r="IJZ488" s="4"/>
      <c r="IKA488" s="4"/>
      <c r="IKB488" s="4"/>
      <c r="IKC488" s="4"/>
      <c r="IKD488" s="4"/>
      <c r="IKE488" s="4"/>
      <c r="IKF488" s="4"/>
      <c r="IKG488" s="4"/>
      <c r="IKH488" s="4"/>
      <c r="IKI488" s="4"/>
      <c r="IKJ488" s="4"/>
      <c r="IKK488" s="4"/>
      <c r="IKL488" s="4"/>
      <c r="IKM488" s="4"/>
      <c r="IKN488" s="4"/>
      <c r="IKO488" s="4"/>
      <c r="IKP488" s="4"/>
      <c r="IKQ488" s="4"/>
      <c r="IKR488" s="4"/>
      <c r="IKS488" s="4"/>
      <c r="IKT488" s="4"/>
      <c r="IKU488" s="4"/>
      <c r="IKV488" s="4"/>
      <c r="IKW488" s="4"/>
      <c r="IKX488" s="4"/>
      <c r="IKY488" s="4"/>
      <c r="IKZ488" s="4"/>
      <c r="ILA488" s="4"/>
      <c r="ILB488" s="4"/>
      <c r="ILC488" s="4"/>
      <c r="ILD488" s="4"/>
      <c r="ILE488" s="4"/>
      <c r="ILF488" s="4"/>
      <c r="ILG488" s="4"/>
      <c r="ILH488" s="4"/>
      <c r="ILI488" s="4"/>
      <c r="ILJ488" s="4"/>
      <c r="ILK488" s="4"/>
      <c r="ILL488" s="4"/>
      <c r="ILM488" s="4"/>
      <c r="ILN488" s="4"/>
      <c r="ILO488" s="4"/>
      <c r="ILP488" s="4"/>
      <c r="ILQ488" s="4"/>
      <c r="ILR488" s="4"/>
      <c r="ILS488" s="4"/>
      <c r="ILT488" s="4"/>
      <c r="ILU488" s="4"/>
      <c r="ILV488" s="4"/>
      <c r="ILW488" s="4"/>
      <c r="ILX488" s="4"/>
      <c r="ILY488" s="4"/>
      <c r="ILZ488" s="4"/>
      <c r="IMA488" s="4"/>
      <c r="IMB488" s="4"/>
      <c r="IMC488" s="4"/>
      <c r="IMD488" s="4"/>
      <c r="IME488" s="4"/>
      <c r="IMF488" s="4"/>
      <c r="IMG488" s="4"/>
      <c r="IMH488" s="4"/>
      <c r="IMI488" s="4"/>
      <c r="IMJ488" s="4"/>
      <c r="IMK488" s="4"/>
      <c r="IML488" s="4"/>
      <c r="IMM488" s="4"/>
      <c r="IMN488" s="4"/>
      <c r="IMO488" s="4"/>
      <c r="IMP488" s="4"/>
      <c r="IMQ488" s="4"/>
      <c r="IMR488" s="4"/>
      <c r="IMS488" s="4"/>
      <c r="IMT488" s="4"/>
      <c r="IMU488" s="4"/>
      <c r="IMV488" s="4"/>
      <c r="IMW488" s="4"/>
      <c r="IMX488" s="4"/>
      <c r="IMY488" s="4"/>
      <c r="IMZ488" s="4"/>
      <c r="INA488" s="4"/>
      <c r="INB488" s="4"/>
      <c r="INC488" s="4"/>
      <c r="IND488" s="4"/>
      <c r="INE488" s="4"/>
      <c r="INF488" s="4"/>
      <c r="ING488" s="4"/>
      <c r="INH488" s="4"/>
      <c r="INI488" s="4"/>
      <c r="INJ488" s="4"/>
      <c r="INK488" s="4"/>
      <c r="INL488" s="4"/>
      <c r="INM488" s="4"/>
      <c r="INN488" s="4"/>
      <c r="INO488" s="4"/>
      <c r="INP488" s="4"/>
      <c r="INQ488" s="4"/>
      <c r="INR488" s="4"/>
      <c r="INS488" s="4"/>
      <c r="INT488" s="4"/>
      <c r="INU488" s="4"/>
      <c r="INV488" s="4"/>
      <c r="INW488" s="4"/>
      <c r="INX488" s="4"/>
      <c r="INY488" s="4"/>
      <c r="INZ488" s="4"/>
      <c r="IOA488" s="4"/>
      <c r="IOB488" s="4"/>
      <c r="IOC488" s="4"/>
      <c r="IOD488" s="4"/>
      <c r="IOE488" s="4"/>
      <c r="IOF488" s="4"/>
      <c r="IOG488" s="4"/>
      <c r="IOH488" s="4"/>
      <c r="IOI488" s="4"/>
      <c r="IOJ488" s="4"/>
      <c r="IOK488" s="4"/>
      <c r="IOL488" s="4"/>
      <c r="IOM488" s="4"/>
      <c r="ION488" s="4"/>
      <c r="IOO488" s="4"/>
      <c r="IOP488" s="4"/>
      <c r="IOQ488" s="4"/>
      <c r="IOR488" s="4"/>
      <c r="IOS488" s="4"/>
      <c r="IOT488" s="4"/>
      <c r="IOU488" s="4"/>
      <c r="IOV488" s="4"/>
      <c r="IOW488" s="4"/>
      <c r="IOX488" s="4"/>
      <c r="IOY488" s="4"/>
      <c r="IOZ488" s="4"/>
      <c r="IPA488" s="4"/>
      <c r="IPB488" s="4"/>
      <c r="IPC488" s="4"/>
      <c r="IPD488" s="4"/>
      <c r="IPE488" s="4"/>
      <c r="IPF488" s="4"/>
      <c r="IPG488" s="4"/>
      <c r="IPH488" s="4"/>
      <c r="IPI488" s="4"/>
      <c r="IPJ488" s="4"/>
      <c r="IPK488" s="4"/>
      <c r="IPL488" s="4"/>
      <c r="IPM488" s="4"/>
      <c r="IPN488" s="4"/>
      <c r="IPO488" s="4"/>
      <c r="IPP488" s="4"/>
      <c r="IPQ488" s="4"/>
      <c r="IPR488" s="4"/>
      <c r="IPS488" s="4"/>
      <c r="IPT488" s="4"/>
      <c r="IPU488" s="4"/>
      <c r="IPV488" s="4"/>
      <c r="IPW488" s="4"/>
      <c r="IPX488" s="4"/>
      <c r="IPY488" s="4"/>
      <c r="IPZ488" s="4"/>
      <c r="IQA488" s="4"/>
      <c r="IQB488" s="4"/>
      <c r="IQC488" s="4"/>
      <c r="IQD488" s="4"/>
      <c r="IQE488" s="4"/>
      <c r="IQF488" s="4"/>
      <c r="IQG488" s="4"/>
      <c r="IQH488" s="4"/>
      <c r="IQI488" s="4"/>
      <c r="IQJ488" s="4"/>
      <c r="IQK488" s="4"/>
      <c r="IQL488" s="4"/>
      <c r="IQM488" s="4"/>
      <c r="IQN488" s="4"/>
      <c r="IQO488" s="4"/>
      <c r="IQP488" s="4"/>
      <c r="IQQ488" s="4"/>
      <c r="IQR488" s="4"/>
      <c r="IQS488" s="4"/>
      <c r="IQT488" s="4"/>
      <c r="IQU488" s="4"/>
      <c r="IQV488" s="4"/>
      <c r="IQW488" s="4"/>
      <c r="IQX488" s="4"/>
      <c r="IQY488" s="4"/>
      <c r="IQZ488" s="4"/>
      <c r="IRA488" s="4"/>
      <c r="IRB488" s="4"/>
      <c r="IRC488" s="4"/>
      <c r="IRD488" s="4"/>
      <c r="IRE488" s="4"/>
      <c r="IRF488" s="4"/>
      <c r="IRG488" s="4"/>
      <c r="IRH488" s="4"/>
      <c r="IRI488" s="4"/>
      <c r="IRJ488" s="4"/>
      <c r="IRK488" s="4"/>
      <c r="IRL488" s="4"/>
      <c r="IRM488" s="4"/>
      <c r="IRN488" s="4"/>
      <c r="IRO488" s="4"/>
      <c r="IRP488" s="4"/>
      <c r="IRQ488" s="4"/>
      <c r="IRR488" s="4"/>
      <c r="IRS488" s="4"/>
      <c r="IRT488" s="4"/>
      <c r="IRU488" s="4"/>
      <c r="IRV488" s="4"/>
      <c r="IRW488" s="4"/>
      <c r="IRX488" s="4"/>
      <c r="IRY488" s="4"/>
      <c r="IRZ488" s="4"/>
      <c r="ISA488" s="4"/>
      <c r="ISB488" s="4"/>
      <c r="ISC488" s="4"/>
      <c r="ISD488" s="4"/>
      <c r="ISE488" s="4"/>
      <c r="ISF488" s="4"/>
      <c r="ISG488" s="4"/>
      <c r="ISH488" s="4"/>
      <c r="ISI488" s="4"/>
      <c r="ISJ488" s="4"/>
      <c r="ISK488" s="4"/>
      <c r="ISL488" s="4"/>
      <c r="ISM488" s="4"/>
      <c r="ISN488" s="4"/>
      <c r="ISO488" s="4"/>
      <c r="ISP488" s="4"/>
      <c r="ISQ488" s="4"/>
      <c r="ISR488" s="4"/>
      <c r="ISS488" s="4"/>
      <c r="IST488" s="4"/>
      <c r="ISU488" s="4"/>
      <c r="ISV488" s="4"/>
      <c r="ISW488" s="4"/>
      <c r="ISX488" s="4"/>
      <c r="ISY488" s="4"/>
      <c r="ISZ488" s="4"/>
      <c r="ITA488" s="4"/>
      <c r="ITB488" s="4"/>
      <c r="ITC488" s="4"/>
      <c r="ITD488" s="4"/>
      <c r="ITE488" s="4"/>
      <c r="ITF488" s="4"/>
      <c r="ITG488" s="4"/>
      <c r="ITH488" s="4"/>
      <c r="ITI488" s="4"/>
      <c r="ITJ488" s="4"/>
      <c r="ITK488" s="4"/>
      <c r="ITL488" s="4"/>
      <c r="ITM488" s="4"/>
      <c r="ITN488" s="4"/>
      <c r="ITO488" s="4"/>
      <c r="ITP488" s="4"/>
      <c r="ITQ488" s="4"/>
      <c r="ITR488" s="4"/>
      <c r="ITS488" s="4"/>
      <c r="ITT488" s="4"/>
      <c r="ITU488" s="4"/>
      <c r="ITV488" s="4"/>
      <c r="ITW488" s="4"/>
      <c r="ITX488" s="4"/>
      <c r="ITY488" s="4"/>
      <c r="ITZ488" s="4"/>
      <c r="IUA488" s="4"/>
      <c r="IUB488" s="4"/>
      <c r="IUC488" s="4"/>
      <c r="IUD488" s="4"/>
      <c r="IUE488" s="4"/>
      <c r="IUF488" s="4"/>
      <c r="IUG488" s="4"/>
      <c r="IUH488" s="4"/>
      <c r="IUI488" s="4"/>
      <c r="IUJ488" s="4"/>
      <c r="IUK488" s="4"/>
      <c r="IUL488" s="4"/>
      <c r="IUM488" s="4"/>
      <c r="IUN488" s="4"/>
      <c r="IUO488" s="4"/>
      <c r="IUP488" s="4"/>
      <c r="IUQ488" s="4"/>
      <c r="IUR488" s="4"/>
      <c r="IUS488" s="4"/>
      <c r="IUT488" s="4"/>
      <c r="IUU488" s="4"/>
      <c r="IUV488" s="4"/>
      <c r="IUW488" s="4"/>
      <c r="IUX488" s="4"/>
      <c r="IUY488" s="4"/>
      <c r="IUZ488" s="4"/>
      <c r="IVA488" s="4"/>
      <c r="IVB488" s="4"/>
      <c r="IVC488" s="4"/>
      <c r="IVD488" s="4"/>
      <c r="IVE488" s="4"/>
      <c r="IVF488" s="4"/>
      <c r="IVG488" s="4"/>
      <c r="IVH488" s="4"/>
      <c r="IVI488" s="4"/>
      <c r="IVJ488" s="4"/>
      <c r="IVK488" s="4"/>
      <c r="IVL488" s="4"/>
      <c r="IVM488" s="4"/>
      <c r="IVN488" s="4"/>
      <c r="IVO488" s="4"/>
      <c r="IVP488" s="4"/>
      <c r="IVQ488" s="4"/>
      <c r="IVR488" s="4"/>
      <c r="IVS488" s="4"/>
      <c r="IVT488" s="4"/>
      <c r="IVU488" s="4"/>
      <c r="IVV488" s="4"/>
      <c r="IVW488" s="4"/>
      <c r="IVX488" s="4"/>
      <c r="IVY488" s="4"/>
      <c r="IVZ488" s="4"/>
      <c r="IWA488" s="4"/>
      <c r="IWB488" s="4"/>
      <c r="IWC488" s="4"/>
      <c r="IWD488" s="4"/>
      <c r="IWE488" s="4"/>
      <c r="IWF488" s="4"/>
      <c r="IWG488" s="4"/>
      <c r="IWH488" s="4"/>
      <c r="IWI488" s="4"/>
      <c r="IWJ488" s="4"/>
      <c r="IWK488" s="4"/>
      <c r="IWL488" s="4"/>
      <c r="IWM488" s="4"/>
      <c r="IWN488" s="4"/>
      <c r="IWO488" s="4"/>
      <c r="IWP488" s="4"/>
      <c r="IWQ488" s="4"/>
      <c r="IWR488" s="4"/>
      <c r="IWS488" s="4"/>
      <c r="IWT488" s="4"/>
      <c r="IWU488" s="4"/>
      <c r="IWV488" s="4"/>
      <c r="IWW488" s="4"/>
      <c r="IWX488" s="4"/>
      <c r="IWY488" s="4"/>
      <c r="IWZ488" s="4"/>
      <c r="IXA488" s="4"/>
      <c r="IXB488" s="4"/>
      <c r="IXC488" s="4"/>
      <c r="IXD488" s="4"/>
      <c r="IXE488" s="4"/>
      <c r="IXF488" s="4"/>
      <c r="IXG488" s="4"/>
      <c r="IXH488" s="4"/>
      <c r="IXI488" s="4"/>
      <c r="IXJ488" s="4"/>
      <c r="IXK488" s="4"/>
      <c r="IXL488" s="4"/>
      <c r="IXM488" s="4"/>
      <c r="IXN488" s="4"/>
      <c r="IXO488" s="4"/>
      <c r="IXP488" s="4"/>
      <c r="IXQ488" s="4"/>
      <c r="IXR488" s="4"/>
      <c r="IXS488" s="4"/>
      <c r="IXT488" s="4"/>
      <c r="IXU488" s="4"/>
      <c r="IXV488" s="4"/>
      <c r="IXW488" s="4"/>
      <c r="IXX488" s="4"/>
      <c r="IXY488" s="4"/>
      <c r="IXZ488" s="4"/>
      <c r="IYA488" s="4"/>
      <c r="IYB488" s="4"/>
      <c r="IYC488" s="4"/>
      <c r="IYD488" s="4"/>
      <c r="IYE488" s="4"/>
      <c r="IYF488" s="4"/>
      <c r="IYG488" s="4"/>
      <c r="IYH488" s="4"/>
      <c r="IYI488" s="4"/>
      <c r="IYJ488" s="4"/>
      <c r="IYK488" s="4"/>
      <c r="IYL488" s="4"/>
      <c r="IYM488" s="4"/>
      <c r="IYN488" s="4"/>
      <c r="IYO488" s="4"/>
      <c r="IYP488" s="4"/>
      <c r="IYQ488" s="4"/>
      <c r="IYR488" s="4"/>
      <c r="IYS488" s="4"/>
      <c r="IYT488" s="4"/>
      <c r="IYU488" s="4"/>
      <c r="IYV488" s="4"/>
      <c r="IYW488" s="4"/>
      <c r="IYX488" s="4"/>
      <c r="IYY488" s="4"/>
      <c r="IYZ488" s="4"/>
      <c r="IZA488" s="4"/>
      <c r="IZB488" s="4"/>
      <c r="IZC488" s="4"/>
      <c r="IZD488" s="4"/>
      <c r="IZE488" s="4"/>
      <c r="IZF488" s="4"/>
      <c r="IZG488" s="4"/>
      <c r="IZH488" s="4"/>
      <c r="IZI488" s="4"/>
      <c r="IZJ488" s="4"/>
      <c r="IZK488" s="4"/>
      <c r="IZL488" s="4"/>
      <c r="IZM488" s="4"/>
      <c r="IZN488" s="4"/>
      <c r="IZO488" s="4"/>
      <c r="IZP488" s="4"/>
      <c r="IZQ488" s="4"/>
      <c r="IZR488" s="4"/>
      <c r="IZS488" s="4"/>
      <c r="IZT488" s="4"/>
      <c r="IZU488" s="4"/>
      <c r="IZV488" s="4"/>
      <c r="IZW488" s="4"/>
      <c r="IZX488" s="4"/>
      <c r="IZY488" s="4"/>
      <c r="IZZ488" s="4"/>
      <c r="JAA488" s="4"/>
      <c r="JAB488" s="4"/>
      <c r="JAC488" s="4"/>
      <c r="JAD488" s="4"/>
      <c r="JAE488" s="4"/>
      <c r="JAF488" s="4"/>
      <c r="JAG488" s="4"/>
      <c r="JAH488" s="4"/>
      <c r="JAI488" s="4"/>
      <c r="JAJ488" s="4"/>
      <c r="JAK488" s="4"/>
      <c r="JAL488" s="4"/>
      <c r="JAM488" s="4"/>
      <c r="JAN488" s="4"/>
      <c r="JAO488" s="4"/>
      <c r="JAP488" s="4"/>
      <c r="JAQ488" s="4"/>
      <c r="JAR488" s="4"/>
      <c r="JAS488" s="4"/>
      <c r="JAT488" s="4"/>
      <c r="JAU488" s="4"/>
      <c r="JAV488" s="4"/>
      <c r="JAW488" s="4"/>
      <c r="JAX488" s="4"/>
      <c r="JAY488" s="4"/>
      <c r="JAZ488" s="4"/>
      <c r="JBA488" s="4"/>
      <c r="JBB488" s="4"/>
      <c r="JBC488" s="4"/>
      <c r="JBD488" s="4"/>
      <c r="JBE488" s="4"/>
      <c r="JBF488" s="4"/>
      <c r="JBG488" s="4"/>
      <c r="JBH488" s="4"/>
      <c r="JBI488" s="4"/>
      <c r="JBJ488" s="4"/>
      <c r="JBK488" s="4"/>
      <c r="JBL488" s="4"/>
      <c r="JBM488" s="4"/>
      <c r="JBN488" s="4"/>
      <c r="JBO488" s="4"/>
      <c r="JBP488" s="4"/>
      <c r="JBQ488" s="4"/>
      <c r="JBR488" s="4"/>
      <c r="JBS488" s="4"/>
      <c r="JBT488" s="4"/>
      <c r="JBU488" s="4"/>
      <c r="JBV488" s="4"/>
      <c r="JBW488" s="4"/>
      <c r="JBX488" s="4"/>
      <c r="JBY488" s="4"/>
      <c r="JBZ488" s="4"/>
      <c r="JCA488" s="4"/>
      <c r="JCB488" s="4"/>
      <c r="JCC488" s="4"/>
      <c r="JCD488" s="4"/>
      <c r="JCE488" s="4"/>
      <c r="JCF488" s="4"/>
      <c r="JCG488" s="4"/>
      <c r="JCH488" s="4"/>
      <c r="JCI488" s="4"/>
      <c r="JCJ488" s="4"/>
      <c r="JCK488" s="4"/>
      <c r="JCL488" s="4"/>
      <c r="JCM488" s="4"/>
      <c r="JCN488" s="4"/>
      <c r="JCO488" s="4"/>
      <c r="JCP488" s="4"/>
      <c r="JCQ488" s="4"/>
      <c r="JCR488" s="4"/>
      <c r="JCS488" s="4"/>
      <c r="JCT488" s="4"/>
      <c r="JCU488" s="4"/>
      <c r="JCV488" s="4"/>
      <c r="JCW488" s="4"/>
      <c r="JCX488" s="4"/>
      <c r="JCY488" s="4"/>
      <c r="JCZ488" s="4"/>
      <c r="JDA488" s="4"/>
      <c r="JDB488" s="4"/>
      <c r="JDC488" s="4"/>
      <c r="JDD488" s="4"/>
      <c r="JDE488" s="4"/>
      <c r="JDF488" s="4"/>
      <c r="JDG488" s="4"/>
      <c r="JDH488" s="4"/>
      <c r="JDI488" s="4"/>
      <c r="JDJ488" s="4"/>
      <c r="JDK488" s="4"/>
      <c r="JDL488" s="4"/>
      <c r="JDM488" s="4"/>
      <c r="JDN488" s="4"/>
      <c r="JDO488" s="4"/>
      <c r="JDP488" s="4"/>
      <c r="JDQ488" s="4"/>
      <c r="JDR488" s="4"/>
      <c r="JDS488" s="4"/>
      <c r="JDT488" s="4"/>
      <c r="JDU488" s="4"/>
      <c r="JDV488" s="4"/>
      <c r="JDW488" s="4"/>
      <c r="JDX488" s="4"/>
      <c r="JDY488" s="4"/>
      <c r="JDZ488" s="4"/>
      <c r="JEA488" s="4"/>
      <c r="JEB488" s="4"/>
      <c r="JEC488" s="4"/>
      <c r="JED488" s="4"/>
      <c r="JEE488" s="4"/>
      <c r="JEF488" s="4"/>
      <c r="JEG488" s="4"/>
      <c r="JEH488" s="4"/>
      <c r="JEI488" s="4"/>
      <c r="JEJ488" s="4"/>
      <c r="JEK488" s="4"/>
      <c r="JEL488" s="4"/>
      <c r="JEM488" s="4"/>
      <c r="JEN488" s="4"/>
      <c r="JEO488" s="4"/>
      <c r="JEP488" s="4"/>
      <c r="JEQ488" s="4"/>
      <c r="JER488" s="4"/>
      <c r="JES488" s="4"/>
      <c r="JET488" s="4"/>
      <c r="JEU488" s="4"/>
      <c r="JEV488" s="4"/>
      <c r="JEW488" s="4"/>
      <c r="JEX488" s="4"/>
      <c r="JEY488" s="4"/>
      <c r="JEZ488" s="4"/>
      <c r="JFA488" s="4"/>
      <c r="JFB488" s="4"/>
      <c r="JFC488" s="4"/>
      <c r="JFD488" s="4"/>
      <c r="JFE488" s="4"/>
      <c r="JFF488" s="4"/>
      <c r="JFG488" s="4"/>
      <c r="JFH488" s="4"/>
      <c r="JFI488" s="4"/>
      <c r="JFJ488" s="4"/>
      <c r="JFK488" s="4"/>
      <c r="JFL488" s="4"/>
      <c r="JFM488" s="4"/>
      <c r="JFN488" s="4"/>
      <c r="JFO488" s="4"/>
      <c r="JFP488" s="4"/>
      <c r="JFQ488" s="4"/>
      <c r="JFR488" s="4"/>
      <c r="JFS488" s="4"/>
      <c r="JFT488" s="4"/>
      <c r="JFU488" s="4"/>
      <c r="JFV488" s="4"/>
      <c r="JFW488" s="4"/>
      <c r="JFX488" s="4"/>
      <c r="JFY488" s="4"/>
      <c r="JFZ488" s="4"/>
      <c r="JGA488" s="4"/>
      <c r="JGB488" s="4"/>
      <c r="JGC488" s="4"/>
      <c r="JGD488" s="4"/>
      <c r="JGE488" s="4"/>
      <c r="JGF488" s="4"/>
      <c r="JGG488" s="4"/>
      <c r="JGH488" s="4"/>
      <c r="JGI488" s="4"/>
      <c r="JGJ488" s="4"/>
      <c r="JGK488" s="4"/>
      <c r="JGL488" s="4"/>
      <c r="JGM488" s="4"/>
      <c r="JGN488" s="4"/>
      <c r="JGO488" s="4"/>
      <c r="JGP488" s="4"/>
      <c r="JGQ488" s="4"/>
      <c r="JGR488" s="4"/>
      <c r="JGS488" s="4"/>
      <c r="JGT488" s="4"/>
      <c r="JGU488" s="4"/>
      <c r="JGV488" s="4"/>
      <c r="JGW488" s="4"/>
      <c r="JGX488" s="4"/>
      <c r="JGY488" s="4"/>
      <c r="JGZ488" s="4"/>
      <c r="JHA488" s="4"/>
      <c r="JHB488" s="4"/>
      <c r="JHC488" s="4"/>
      <c r="JHD488" s="4"/>
      <c r="JHE488" s="4"/>
      <c r="JHF488" s="4"/>
      <c r="JHG488" s="4"/>
      <c r="JHH488" s="4"/>
      <c r="JHI488" s="4"/>
      <c r="JHJ488" s="4"/>
      <c r="JHK488" s="4"/>
      <c r="JHL488" s="4"/>
      <c r="JHM488" s="4"/>
      <c r="JHN488" s="4"/>
      <c r="JHO488" s="4"/>
      <c r="JHP488" s="4"/>
      <c r="JHQ488" s="4"/>
      <c r="JHR488" s="4"/>
      <c r="JHS488" s="4"/>
      <c r="JHT488" s="4"/>
      <c r="JHU488" s="4"/>
      <c r="JHV488" s="4"/>
      <c r="JHW488" s="4"/>
      <c r="JHX488" s="4"/>
      <c r="JHY488" s="4"/>
      <c r="JHZ488" s="4"/>
      <c r="JIA488" s="4"/>
      <c r="JIB488" s="4"/>
      <c r="JIC488" s="4"/>
      <c r="JID488" s="4"/>
      <c r="JIE488" s="4"/>
      <c r="JIF488" s="4"/>
      <c r="JIG488" s="4"/>
      <c r="JIH488" s="4"/>
      <c r="JII488" s="4"/>
      <c r="JIJ488" s="4"/>
      <c r="JIK488" s="4"/>
      <c r="JIL488" s="4"/>
      <c r="JIM488" s="4"/>
      <c r="JIN488" s="4"/>
      <c r="JIO488" s="4"/>
      <c r="JIP488" s="4"/>
      <c r="JIQ488" s="4"/>
      <c r="JIR488" s="4"/>
      <c r="JIS488" s="4"/>
      <c r="JIT488" s="4"/>
      <c r="JIU488" s="4"/>
      <c r="JIV488" s="4"/>
      <c r="JIW488" s="4"/>
      <c r="JIX488" s="4"/>
      <c r="JIY488" s="4"/>
      <c r="JIZ488" s="4"/>
      <c r="JJA488" s="4"/>
      <c r="JJB488" s="4"/>
      <c r="JJC488" s="4"/>
      <c r="JJD488" s="4"/>
      <c r="JJE488" s="4"/>
      <c r="JJF488" s="4"/>
      <c r="JJG488" s="4"/>
      <c r="JJH488" s="4"/>
      <c r="JJI488" s="4"/>
      <c r="JJJ488" s="4"/>
      <c r="JJK488" s="4"/>
      <c r="JJL488" s="4"/>
      <c r="JJM488" s="4"/>
      <c r="JJN488" s="4"/>
      <c r="JJO488" s="4"/>
      <c r="JJP488" s="4"/>
      <c r="JJQ488" s="4"/>
      <c r="JJR488" s="4"/>
      <c r="JJS488" s="4"/>
      <c r="JJT488" s="4"/>
      <c r="JJU488" s="4"/>
      <c r="JJV488" s="4"/>
      <c r="JJW488" s="4"/>
      <c r="JJX488" s="4"/>
      <c r="JJY488" s="4"/>
      <c r="JJZ488" s="4"/>
      <c r="JKA488" s="4"/>
      <c r="JKB488" s="4"/>
      <c r="JKC488" s="4"/>
      <c r="JKD488" s="4"/>
      <c r="JKE488" s="4"/>
      <c r="JKF488" s="4"/>
      <c r="JKG488" s="4"/>
      <c r="JKH488" s="4"/>
      <c r="JKI488" s="4"/>
      <c r="JKJ488" s="4"/>
      <c r="JKK488" s="4"/>
      <c r="JKL488" s="4"/>
      <c r="JKM488" s="4"/>
      <c r="JKN488" s="4"/>
      <c r="JKO488" s="4"/>
      <c r="JKP488" s="4"/>
      <c r="JKQ488" s="4"/>
      <c r="JKR488" s="4"/>
      <c r="JKS488" s="4"/>
      <c r="JKT488" s="4"/>
      <c r="JKU488" s="4"/>
      <c r="JKV488" s="4"/>
      <c r="JKW488" s="4"/>
      <c r="JKX488" s="4"/>
      <c r="JKY488" s="4"/>
      <c r="JKZ488" s="4"/>
      <c r="JLA488" s="4"/>
      <c r="JLB488" s="4"/>
      <c r="JLC488" s="4"/>
      <c r="JLD488" s="4"/>
      <c r="JLE488" s="4"/>
      <c r="JLF488" s="4"/>
      <c r="JLG488" s="4"/>
      <c r="JLH488" s="4"/>
      <c r="JLI488" s="4"/>
      <c r="JLJ488" s="4"/>
      <c r="JLK488" s="4"/>
      <c r="JLL488" s="4"/>
      <c r="JLM488" s="4"/>
      <c r="JLN488" s="4"/>
      <c r="JLO488" s="4"/>
      <c r="JLP488" s="4"/>
      <c r="JLQ488" s="4"/>
      <c r="JLR488" s="4"/>
      <c r="JLS488" s="4"/>
      <c r="JLT488" s="4"/>
      <c r="JLU488" s="4"/>
      <c r="JLV488" s="4"/>
      <c r="JLW488" s="4"/>
      <c r="JLX488" s="4"/>
      <c r="JLY488" s="4"/>
      <c r="JLZ488" s="4"/>
      <c r="JMA488" s="4"/>
      <c r="JMB488" s="4"/>
      <c r="JMC488" s="4"/>
      <c r="JMD488" s="4"/>
      <c r="JME488" s="4"/>
      <c r="JMF488" s="4"/>
      <c r="JMG488" s="4"/>
      <c r="JMH488" s="4"/>
      <c r="JMI488" s="4"/>
      <c r="JMJ488" s="4"/>
      <c r="JMK488" s="4"/>
      <c r="JML488" s="4"/>
      <c r="JMM488" s="4"/>
      <c r="JMN488" s="4"/>
      <c r="JMO488" s="4"/>
      <c r="JMP488" s="4"/>
      <c r="JMQ488" s="4"/>
      <c r="JMR488" s="4"/>
      <c r="JMS488" s="4"/>
      <c r="JMT488" s="4"/>
      <c r="JMU488" s="4"/>
      <c r="JMV488" s="4"/>
      <c r="JMW488" s="4"/>
      <c r="JMX488" s="4"/>
      <c r="JMY488" s="4"/>
      <c r="JMZ488" s="4"/>
      <c r="JNA488" s="4"/>
      <c r="JNB488" s="4"/>
      <c r="JNC488" s="4"/>
      <c r="JND488" s="4"/>
      <c r="JNE488" s="4"/>
      <c r="JNF488" s="4"/>
      <c r="JNG488" s="4"/>
      <c r="JNH488" s="4"/>
      <c r="JNI488" s="4"/>
      <c r="JNJ488" s="4"/>
      <c r="JNK488" s="4"/>
      <c r="JNL488" s="4"/>
      <c r="JNM488" s="4"/>
      <c r="JNN488" s="4"/>
      <c r="JNO488" s="4"/>
      <c r="JNP488" s="4"/>
      <c r="JNQ488" s="4"/>
      <c r="JNR488" s="4"/>
      <c r="JNS488" s="4"/>
      <c r="JNT488" s="4"/>
      <c r="JNU488" s="4"/>
      <c r="JNV488" s="4"/>
      <c r="JNW488" s="4"/>
      <c r="JNX488" s="4"/>
      <c r="JNY488" s="4"/>
      <c r="JNZ488" s="4"/>
      <c r="JOA488" s="4"/>
      <c r="JOB488" s="4"/>
      <c r="JOC488" s="4"/>
      <c r="JOD488" s="4"/>
      <c r="JOE488" s="4"/>
      <c r="JOF488" s="4"/>
      <c r="JOG488" s="4"/>
      <c r="JOH488" s="4"/>
      <c r="JOI488" s="4"/>
      <c r="JOJ488" s="4"/>
      <c r="JOK488" s="4"/>
      <c r="JOL488" s="4"/>
      <c r="JOM488" s="4"/>
      <c r="JON488" s="4"/>
      <c r="JOO488" s="4"/>
      <c r="JOP488" s="4"/>
      <c r="JOQ488" s="4"/>
      <c r="JOR488" s="4"/>
      <c r="JOS488" s="4"/>
      <c r="JOT488" s="4"/>
      <c r="JOU488" s="4"/>
      <c r="JOV488" s="4"/>
      <c r="JOW488" s="4"/>
      <c r="JOX488" s="4"/>
      <c r="JOY488" s="4"/>
      <c r="JOZ488" s="4"/>
      <c r="JPA488" s="4"/>
      <c r="JPB488" s="4"/>
      <c r="JPC488" s="4"/>
      <c r="JPD488" s="4"/>
      <c r="JPE488" s="4"/>
      <c r="JPF488" s="4"/>
      <c r="JPG488" s="4"/>
      <c r="JPH488" s="4"/>
      <c r="JPI488" s="4"/>
      <c r="JPJ488" s="4"/>
      <c r="JPK488" s="4"/>
      <c r="JPL488" s="4"/>
      <c r="JPM488" s="4"/>
      <c r="JPN488" s="4"/>
      <c r="JPO488" s="4"/>
      <c r="JPP488" s="4"/>
      <c r="JPQ488" s="4"/>
      <c r="JPR488" s="4"/>
      <c r="JPS488" s="4"/>
      <c r="JPT488" s="4"/>
      <c r="JPU488" s="4"/>
      <c r="JPV488" s="4"/>
      <c r="JPW488" s="4"/>
      <c r="JPX488" s="4"/>
      <c r="JPY488" s="4"/>
      <c r="JPZ488" s="4"/>
      <c r="JQA488" s="4"/>
      <c r="JQB488" s="4"/>
      <c r="JQC488" s="4"/>
      <c r="JQD488" s="4"/>
      <c r="JQE488" s="4"/>
      <c r="JQF488" s="4"/>
      <c r="JQG488" s="4"/>
      <c r="JQH488" s="4"/>
      <c r="JQI488" s="4"/>
      <c r="JQJ488" s="4"/>
      <c r="JQK488" s="4"/>
      <c r="JQL488" s="4"/>
      <c r="JQM488" s="4"/>
      <c r="JQN488" s="4"/>
      <c r="JQO488" s="4"/>
      <c r="JQP488" s="4"/>
      <c r="JQQ488" s="4"/>
      <c r="JQR488" s="4"/>
      <c r="JQS488" s="4"/>
      <c r="JQT488" s="4"/>
      <c r="JQU488" s="4"/>
      <c r="JQV488" s="4"/>
      <c r="JQW488" s="4"/>
      <c r="JQX488" s="4"/>
      <c r="JQY488" s="4"/>
      <c r="JQZ488" s="4"/>
      <c r="JRA488" s="4"/>
      <c r="JRB488" s="4"/>
      <c r="JRC488" s="4"/>
      <c r="JRD488" s="4"/>
      <c r="JRE488" s="4"/>
      <c r="JRF488" s="4"/>
      <c r="JRG488" s="4"/>
      <c r="JRH488" s="4"/>
      <c r="JRI488" s="4"/>
      <c r="JRJ488" s="4"/>
      <c r="JRK488" s="4"/>
      <c r="JRL488" s="4"/>
      <c r="JRM488" s="4"/>
      <c r="JRN488" s="4"/>
      <c r="JRO488" s="4"/>
      <c r="JRP488" s="4"/>
      <c r="JRQ488" s="4"/>
      <c r="JRR488" s="4"/>
      <c r="JRS488" s="4"/>
      <c r="JRT488" s="4"/>
      <c r="JRU488" s="4"/>
      <c r="JRV488" s="4"/>
      <c r="JRW488" s="4"/>
      <c r="JRX488" s="4"/>
      <c r="JRY488" s="4"/>
      <c r="JRZ488" s="4"/>
      <c r="JSA488" s="4"/>
      <c r="JSB488" s="4"/>
      <c r="JSC488" s="4"/>
      <c r="JSD488" s="4"/>
      <c r="JSE488" s="4"/>
      <c r="JSF488" s="4"/>
      <c r="JSG488" s="4"/>
      <c r="JSH488" s="4"/>
      <c r="JSI488" s="4"/>
      <c r="JSJ488" s="4"/>
      <c r="JSK488" s="4"/>
      <c r="JSL488" s="4"/>
      <c r="JSM488" s="4"/>
      <c r="JSN488" s="4"/>
      <c r="JSO488" s="4"/>
      <c r="JSP488" s="4"/>
      <c r="JSQ488" s="4"/>
      <c r="JSR488" s="4"/>
      <c r="JSS488" s="4"/>
      <c r="JST488" s="4"/>
      <c r="JSU488" s="4"/>
      <c r="JSV488" s="4"/>
      <c r="JSW488" s="4"/>
      <c r="JSX488" s="4"/>
      <c r="JSY488" s="4"/>
      <c r="JSZ488" s="4"/>
      <c r="JTA488" s="4"/>
      <c r="JTB488" s="4"/>
      <c r="JTC488" s="4"/>
      <c r="JTD488" s="4"/>
      <c r="JTE488" s="4"/>
      <c r="JTF488" s="4"/>
      <c r="JTG488" s="4"/>
      <c r="JTH488" s="4"/>
      <c r="JTI488" s="4"/>
      <c r="JTJ488" s="4"/>
      <c r="JTK488" s="4"/>
      <c r="JTL488" s="4"/>
      <c r="JTM488" s="4"/>
      <c r="JTN488" s="4"/>
      <c r="JTO488" s="4"/>
      <c r="JTP488" s="4"/>
      <c r="JTQ488" s="4"/>
      <c r="JTR488" s="4"/>
      <c r="JTS488" s="4"/>
      <c r="JTT488" s="4"/>
      <c r="JTU488" s="4"/>
      <c r="JTV488" s="4"/>
      <c r="JTW488" s="4"/>
      <c r="JTX488" s="4"/>
      <c r="JTY488" s="4"/>
      <c r="JTZ488" s="4"/>
      <c r="JUA488" s="4"/>
      <c r="JUB488" s="4"/>
      <c r="JUC488" s="4"/>
      <c r="JUD488" s="4"/>
      <c r="JUE488" s="4"/>
      <c r="JUF488" s="4"/>
      <c r="JUG488" s="4"/>
      <c r="JUH488" s="4"/>
      <c r="JUI488" s="4"/>
      <c r="JUJ488" s="4"/>
      <c r="JUK488" s="4"/>
      <c r="JUL488" s="4"/>
      <c r="JUM488" s="4"/>
      <c r="JUN488" s="4"/>
      <c r="JUO488" s="4"/>
      <c r="JUP488" s="4"/>
      <c r="JUQ488" s="4"/>
      <c r="JUR488" s="4"/>
      <c r="JUS488" s="4"/>
      <c r="JUT488" s="4"/>
      <c r="JUU488" s="4"/>
      <c r="JUV488" s="4"/>
      <c r="JUW488" s="4"/>
      <c r="JUX488" s="4"/>
      <c r="JUY488" s="4"/>
      <c r="JUZ488" s="4"/>
      <c r="JVA488" s="4"/>
      <c r="JVB488" s="4"/>
      <c r="JVC488" s="4"/>
      <c r="JVD488" s="4"/>
      <c r="JVE488" s="4"/>
      <c r="JVF488" s="4"/>
      <c r="JVG488" s="4"/>
      <c r="JVH488" s="4"/>
      <c r="JVI488" s="4"/>
      <c r="JVJ488" s="4"/>
      <c r="JVK488" s="4"/>
      <c r="JVL488" s="4"/>
      <c r="JVM488" s="4"/>
      <c r="JVN488" s="4"/>
      <c r="JVO488" s="4"/>
      <c r="JVP488" s="4"/>
      <c r="JVQ488" s="4"/>
      <c r="JVR488" s="4"/>
      <c r="JVS488" s="4"/>
      <c r="JVT488" s="4"/>
      <c r="JVU488" s="4"/>
      <c r="JVV488" s="4"/>
      <c r="JVW488" s="4"/>
      <c r="JVX488" s="4"/>
      <c r="JVY488" s="4"/>
      <c r="JVZ488" s="4"/>
      <c r="JWA488" s="4"/>
      <c r="JWB488" s="4"/>
      <c r="JWC488" s="4"/>
      <c r="JWD488" s="4"/>
      <c r="JWE488" s="4"/>
      <c r="JWF488" s="4"/>
      <c r="JWG488" s="4"/>
      <c r="JWH488" s="4"/>
      <c r="JWI488" s="4"/>
      <c r="JWJ488" s="4"/>
      <c r="JWK488" s="4"/>
      <c r="JWL488" s="4"/>
      <c r="JWM488" s="4"/>
      <c r="JWN488" s="4"/>
      <c r="JWO488" s="4"/>
      <c r="JWP488" s="4"/>
      <c r="JWQ488" s="4"/>
      <c r="JWR488" s="4"/>
      <c r="JWS488" s="4"/>
      <c r="JWT488" s="4"/>
      <c r="JWU488" s="4"/>
      <c r="JWV488" s="4"/>
      <c r="JWW488" s="4"/>
      <c r="JWX488" s="4"/>
      <c r="JWY488" s="4"/>
      <c r="JWZ488" s="4"/>
      <c r="JXA488" s="4"/>
      <c r="JXB488" s="4"/>
      <c r="JXC488" s="4"/>
      <c r="JXD488" s="4"/>
      <c r="JXE488" s="4"/>
      <c r="JXF488" s="4"/>
      <c r="JXG488" s="4"/>
      <c r="JXH488" s="4"/>
      <c r="JXI488" s="4"/>
      <c r="JXJ488" s="4"/>
      <c r="JXK488" s="4"/>
      <c r="JXL488" s="4"/>
      <c r="JXM488" s="4"/>
      <c r="JXN488" s="4"/>
      <c r="JXO488" s="4"/>
      <c r="JXP488" s="4"/>
      <c r="JXQ488" s="4"/>
      <c r="JXR488" s="4"/>
      <c r="JXS488" s="4"/>
      <c r="JXT488" s="4"/>
      <c r="JXU488" s="4"/>
      <c r="JXV488" s="4"/>
      <c r="JXW488" s="4"/>
      <c r="JXX488" s="4"/>
      <c r="JXY488" s="4"/>
      <c r="JXZ488" s="4"/>
      <c r="JYA488" s="4"/>
      <c r="JYB488" s="4"/>
      <c r="JYC488" s="4"/>
      <c r="JYD488" s="4"/>
      <c r="JYE488" s="4"/>
      <c r="JYF488" s="4"/>
      <c r="JYG488" s="4"/>
      <c r="JYH488" s="4"/>
      <c r="JYI488" s="4"/>
      <c r="JYJ488" s="4"/>
      <c r="JYK488" s="4"/>
      <c r="JYL488" s="4"/>
      <c r="JYM488" s="4"/>
      <c r="JYN488" s="4"/>
      <c r="JYO488" s="4"/>
      <c r="JYP488" s="4"/>
      <c r="JYQ488" s="4"/>
      <c r="JYR488" s="4"/>
      <c r="JYS488" s="4"/>
      <c r="JYT488" s="4"/>
      <c r="JYU488" s="4"/>
      <c r="JYV488" s="4"/>
      <c r="JYW488" s="4"/>
      <c r="JYX488" s="4"/>
      <c r="JYY488" s="4"/>
      <c r="JYZ488" s="4"/>
      <c r="JZA488" s="4"/>
      <c r="JZB488" s="4"/>
      <c r="JZC488" s="4"/>
      <c r="JZD488" s="4"/>
      <c r="JZE488" s="4"/>
      <c r="JZF488" s="4"/>
      <c r="JZG488" s="4"/>
      <c r="JZH488" s="4"/>
      <c r="JZI488" s="4"/>
      <c r="JZJ488" s="4"/>
      <c r="JZK488" s="4"/>
      <c r="JZL488" s="4"/>
      <c r="JZM488" s="4"/>
      <c r="JZN488" s="4"/>
      <c r="JZO488" s="4"/>
      <c r="JZP488" s="4"/>
      <c r="JZQ488" s="4"/>
      <c r="JZR488" s="4"/>
      <c r="JZS488" s="4"/>
      <c r="JZT488" s="4"/>
      <c r="JZU488" s="4"/>
      <c r="JZV488" s="4"/>
      <c r="JZW488" s="4"/>
      <c r="JZX488" s="4"/>
      <c r="JZY488" s="4"/>
      <c r="JZZ488" s="4"/>
      <c r="KAA488" s="4"/>
      <c r="KAB488" s="4"/>
      <c r="KAC488" s="4"/>
      <c r="KAD488" s="4"/>
      <c r="KAE488" s="4"/>
      <c r="KAF488" s="4"/>
      <c r="KAG488" s="4"/>
      <c r="KAH488" s="4"/>
      <c r="KAI488" s="4"/>
      <c r="KAJ488" s="4"/>
      <c r="KAK488" s="4"/>
      <c r="KAL488" s="4"/>
      <c r="KAM488" s="4"/>
      <c r="KAN488" s="4"/>
      <c r="KAO488" s="4"/>
      <c r="KAP488" s="4"/>
      <c r="KAQ488" s="4"/>
      <c r="KAR488" s="4"/>
      <c r="KAS488" s="4"/>
      <c r="KAT488" s="4"/>
      <c r="KAU488" s="4"/>
      <c r="KAV488" s="4"/>
      <c r="KAW488" s="4"/>
      <c r="KAX488" s="4"/>
      <c r="KAY488" s="4"/>
      <c r="KAZ488" s="4"/>
      <c r="KBA488" s="4"/>
      <c r="KBB488" s="4"/>
      <c r="KBC488" s="4"/>
      <c r="KBD488" s="4"/>
      <c r="KBE488" s="4"/>
      <c r="KBF488" s="4"/>
      <c r="KBG488" s="4"/>
      <c r="KBH488" s="4"/>
      <c r="KBI488" s="4"/>
      <c r="KBJ488" s="4"/>
      <c r="KBK488" s="4"/>
      <c r="KBL488" s="4"/>
      <c r="KBM488" s="4"/>
      <c r="KBN488" s="4"/>
      <c r="KBO488" s="4"/>
      <c r="KBP488" s="4"/>
      <c r="KBQ488" s="4"/>
      <c r="KBR488" s="4"/>
      <c r="KBS488" s="4"/>
      <c r="KBT488" s="4"/>
      <c r="KBU488" s="4"/>
      <c r="KBV488" s="4"/>
      <c r="KBW488" s="4"/>
      <c r="KBX488" s="4"/>
      <c r="KBY488" s="4"/>
      <c r="KBZ488" s="4"/>
      <c r="KCA488" s="4"/>
      <c r="KCB488" s="4"/>
      <c r="KCC488" s="4"/>
      <c r="KCD488" s="4"/>
      <c r="KCE488" s="4"/>
      <c r="KCF488" s="4"/>
      <c r="KCG488" s="4"/>
      <c r="KCH488" s="4"/>
      <c r="KCI488" s="4"/>
      <c r="KCJ488" s="4"/>
      <c r="KCK488" s="4"/>
      <c r="KCL488" s="4"/>
      <c r="KCM488" s="4"/>
      <c r="KCN488" s="4"/>
      <c r="KCO488" s="4"/>
      <c r="KCP488" s="4"/>
      <c r="KCQ488" s="4"/>
      <c r="KCR488" s="4"/>
      <c r="KCS488" s="4"/>
      <c r="KCT488" s="4"/>
      <c r="KCU488" s="4"/>
      <c r="KCV488" s="4"/>
      <c r="KCW488" s="4"/>
      <c r="KCX488" s="4"/>
      <c r="KCY488" s="4"/>
      <c r="KCZ488" s="4"/>
      <c r="KDA488" s="4"/>
      <c r="KDB488" s="4"/>
      <c r="KDC488" s="4"/>
      <c r="KDD488" s="4"/>
      <c r="KDE488" s="4"/>
      <c r="KDF488" s="4"/>
      <c r="KDG488" s="4"/>
      <c r="KDH488" s="4"/>
      <c r="KDI488" s="4"/>
      <c r="KDJ488" s="4"/>
      <c r="KDK488" s="4"/>
      <c r="KDL488" s="4"/>
      <c r="KDM488" s="4"/>
      <c r="KDN488" s="4"/>
      <c r="KDO488" s="4"/>
      <c r="KDP488" s="4"/>
      <c r="KDQ488" s="4"/>
      <c r="KDR488" s="4"/>
      <c r="KDS488" s="4"/>
      <c r="KDT488" s="4"/>
      <c r="KDU488" s="4"/>
      <c r="KDV488" s="4"/>
      <c r="KDW488" s="4"/>
      <c r="KDX488" s="4"/>
      <c r="KDY488" s="4"/>
      <c r="KDZ488" s="4"/>
      <c r="KEA488" s="4"/>
      <c r="KEB488" s="4"/>
      <c r="KEC488" s="4"/>
      <c r="KED488" s="4"/>
      <c r="KEE488" s="4"/>
      <c r="KEF488" s="4"/>
      <c r="KEG488" s="4"/>
      <c r="KEH488" s="4"/>
      <c r="KEI488" s="4"/>
      <c r="KEJ488" s="4"/>
      <c r="KEK488" s="4"/>
      <c r="KEL488" s="4"/>
      <c r="KEM488" s="4"/>
      <c r="KEN488" s="4"/>
      <c r="KEO488" s="4"/>
      <c r="KEP488" s="4"/>
      <c r="KEQ488" s="4"/>
      <c r="KER488" s="4"/>
      <c r="KES488" s="4"/>
      <c r="KET488" s="4"/>
      <c r="KEU488" s="4"/>
      <c r="KEV488" s="4"/>
      <c r="KEW488" s="4"/>
      <c r="KEX488" s="4"/>
      <c r="KEY488" s="4"/>
      <c r="KEZ488" s="4"/>
      <c r="KFA488" s="4"/>
      <c r="KFB488" s="4"/>
      <c r="KFC488" s="4"/>
      <c r="KFD488" s="4"/>
      <c r="KFE488" s="4"/>
      <c r="KFF488" s="4"/>
      <c r="KFG488" s="4"/>
      <c r="KFH488" s="4"/>
      <c r="KFI488" s="4"/>
      <c r="KFJ488" s="4"/>
      <c r="KFK488" s="4"/>
      <c r="KFL488" s="4"/>
      <c r="KFM488" s="4"/>
      <c r="KFN488" s="4"/>
      <c r="KFO488" s="4"/>
      <c r="KFP488" s="4"/>
      <c r="KFQ488" s="4"/>
      <c r="KFR488" s="4"/>
      <c r="KFS488" s="4"/>
      <c r="KFT488" s="4"/>
      <c r="KFU488" s="4"/>
      <c r="KFV488" s="4"/>
      <c r="KFW488" s="4"/>
      <c r="KFX488" s="4"/>
      <c r="KFY488" s="4"/>
      <c r="KFZ488" s="4"/>
      <c r="KGA488" s="4"/>
      <c r="KGB488" s="4"/>
      <c r="KGC488" s="4"/>
      <c r="KGD488" s="4"/>
      <c r="KGE488" s="4"/>
      <c r="KGF488" s="4"/>
      <c r="KGG488" s="4"/>
      <c r="KGH488" s="4"/>
      <c r="KGI488" s="4"/>
      <c r="KGJ488" s="4"/>
      <c r="KGK488" s="4"/>
      <c r="KGL488" s="4"/>
      <c r="KGM488" s="4"/>
      <c r="KGN488" s="4"/>
      <c r="KGO488" s="4"/>
      <c r="KGP488" s="4"/>
      <c r="KGQ488" s="4"/>
      <c r="KGR488" s="4"/>
      <c r="KGS488" s="4"/>
      <c r="KGT488" s="4"/>
      <c r="KGU488" s="4"/>
      <c r="KGV488" s="4"/>
      <c r="KGW488" s="4"/>
      <c r="KGX488" s="4"/>
      <c r="KGY488" s="4"/>
      <c r="KGZ488" s="4"/>
      <c r="KHA488" s="4"/>
      <c r="KHB488" s="4"/>
      <c r="KHC488" s="4"/>
      <c r="KHD488" s="4"/>
      <c r="KHE488" s="4"/>
      <c r="KHF488" s="4"/>
      <c r="KHG488" s="4"/>
      <c r="KHH488" s="4"/>
      <c r="KHI488" s="4"/>
      <c r="KHJ488" s="4"/>
      <c r="KHK488" s="4"/>
      <c r="KHL488" s="4"/>
      <c r="KHM488" s="4"/>
      <c r="KHN488" s="4"/>
      <c r="KHO488" s="4"/>
      <c r="KHP488" s="4"/>
      <c r="KHQ488" s="4"/>
      <c r="KHR488" s="4"/>
      <c r="KHS488" s="4"/>
      <c r="KHT488" s="4"/>
      <c r="KHU488" s="4"/>
      <c r="KHV488" s="4"/>
      <c r="KHW488" s="4"/>
      <c r="KHX488" s="4"/>
      <c r="KHY488" s="4"/>
      <c r="KHZ488" s="4"/>
      <c r="KIA488" s="4"/>
      <c r="KIB488" s="4"/>
      <c r="KIC488" s="4"/>
      <c r="KID488" s="4"/>
      <c r="KIE488" s="4"/>
      <c r="KIF488" s="4"/>
      <c r="KIG488" s="4"/>
      <c r="KIH488" s="4"/>
      <c r="KII488" s="4"/>
      <c r="KIJ488" s="4"/>
      <c r="KIK488" s="4"/>
      <c r="KIL488" s="4"/>
      <c r="KIM488" s="4"/>
      <c r="KIN488" s="4"/>
      <c r="KIO488" s="4"/>
      <c r="KIP488" s="4"/>
      <c r="KIQ488" s="4"/>
      <c r="KIR488" s="4"/>
      <c r="KIS488" s="4"/>
      <c r="KIT488" s="4"/>
      <c r="KIU488" s="4"/>
      <c r="KIV488" s="4"/>
      <c r="KIW488" s="4"/>
      <c r="KIX488" s="4"/>
      <c r="KIY488" s="4"/>
      <c r="KIZ488" s="4"/>
      <c r="KJA488" s="4"/>
      <c r="KJB488" s="4"/>
      <c r="KJC488" s="4"/>
      <c r="KJD488" s="4"/>
      <c r="KJE488" s="4"/>
      <c r="KJF488" s="4"/>
      <c r="KJG488" s="4"/>
      <c r="KJH488" s="4"/>
      <c r="KJI488" s="4"/>
      <c r="KJJ488" s="4"/>
      <c r="KJK488" s="4"/>
      <c r="KJL488" s="4"/>
      <c r="KJM488" s="4"/>
      <c r="KJN488" s="4"/>
      <c r="KJO488" s="4"/>
      <c r="KJP488" s="4"/>
      <c r="KJQ488" s="4"/>
      <c r="KJR488" s="4"/>
      <c r="KJS488" s="4"/>
      <c r="KJT488" s="4"/>
      <c r="KJU488" s="4"/>
      <c r="KJV488" s="4"/>
      <c r="KJW488" s="4"/>
      <c r="KJX488" s="4"/>
      <c r="KJY488" s="4"/>
      <c r="KJZ488" s="4"/>
      <c r="KKA488" s="4"/>
      <c r="KKB488" s="4"/>
      <c r="KKC488" s="4"/>
      <c r="KKD488" s="4"/>
      <c r="KKE488" s="4"/>
      <c r="KKF488" s="4"/>
      <c r="KKG488" s="4"/>
      <c r="KKH488" s="4"/>
      <c r="KKI488" s="4"/>
      <c r="KKJ488" s="4"/>
      <c r="KKK488" s="4"/>
      <c r="KKL488" s="4"/>
      <c r="KKM488" s="4"/>
      <c r="KKN488" s="4"/>
      <c r="KKO488" s="4"/>
      <c r="KKP488" s="4"/>
      <c r="KKQ488" s="4"/>
      <c r="KKR488" s="4"/>
      <c r="KKS488" s="4"/>
      <c r="KKT488" s="4"/>
      <c r="KKU488" s="4"/>
      <c r="KKV488" s="4"/>
      <c r="KKW488" s="4"/>
      <c r="KKX488" s="4"/>
      <c r="KKY488" s="4"/>
      <c r="KKZ488" s="4"/>
      <c r="KLA488" s="4"/>
      <c r="KLB488" s="4"/>
      <c r="KLC488" s="4"/>
      <c r="KLD488" s="4"/>
      <c r="KLE488" s="4"/>
      <c r="KLF488" s="4"/>
      <c r="KLG488" s="4"/>
      <c r="KLH488" s="4"/>
      <c r="KLI488" s="4"/>
      <c r="KLJ488" s="4"/>
      <c r="KLK488" s="4"/>
      <c r="KLL488" s="4"/>
      <c r="KLM488" s="4"/>
      <c r="KLN488" s="4"/>
      <c r="KLO488" s="4"/>
      <c r="KLP488" s="4"/>
      <c r="KLQ488" s="4"/>
      <c r="KLR488" s="4"/>
      <c r="KLS488" s="4"/>
      <c r="KLT488" s="4"/>
      <c r="KLU488" s="4"/>
      <c r="KLV488" s="4"/>
      <c r="KLW488" s="4"/>
      <c r="KLX488" s="4"/>
      <c r="KLY488" s="4"/>
      <c r="KLZ488" s="4"/>
      <c r="KMA488" s="4"/>
      <c r="KMB488" s="4"/>
      <c r="KMC488" s="4"/>
      <c r="KMD488" s="4"/>
      <c r="KME488" s="4"/>
      <c r="KMF488" s="4"/>
      <c r="KMG488" s="4"/>
      <c r="KMH488" s="4"/>
      <c r="KMI488" s="4"/>
      <c r="KMJ488" s="4"/>
      <c r="KMK488" s="4"/>
      <c r="KML488" s="4"/>
      <c r="KMM488" s="4"/>
      <c r="KMN488" s="4"/>
      <c r="KMO488" s="4"/>
      <c r="KMP488" s="4"/>
      <c r="KMQ488" s="4"/>
      <c r="KMR488" s="4"/>
      <c r="KMS488" s="4"/>
      <c r="KMT488" s="4"/>
      <c r="KMU488" s="4"/>
      <c r="KMV488" s="4"/>
      <c r="KMW488" s="4"/>
      <c r="KMX488" s="4"/>
      <c r="KMY488" s="4"/>
      <c r="KMZ488" s="4"/>
      <c r="KNA488" s="4"/>
      <c r="KNB488" s="4"/>
      <c r="KNC488" s="4"/>
      <c r="KND488" s="4"/>
      <c r="KNE488" s="4"/>
      <c r="KNF488" s="4"/>
      <c r="KNG488" s="4"/>
      <c r="KNH488" s="4"/>
      <c r="KNI488" s="4"/>
      <c r="KNJ488" s="4"/>
      <c r="KNK488" s="4"/>
      <c r="KNL488" s="4"/>
      <c r="KNM488" s="4"/>
      <c r="KNN488" s="4"/>
      <c r="KNO488" s="4"/>
      <c r="KNP488" s="4"/>
      <c r="KNQ488" s="4"/>
      <c r="KNR488" s="4"/>
      <c r="KNS488" s="4"/>
      <c r="KNT488" s="4"/>
      <c r="KNU488" s="4"/>
      <c r="KNV488" s="4"/>
      <c r="KNW488" s="4"/>
      <c r="KNX488" s="4"/>
      <c r="KNY488" s="4"/>
      <c r="KNZ488" s="4"/>
      <c r="KOA488" s="4"/>
      <c r="KOB488" s="4"/>
      <c r="KOC488" s="4"/>
      <c r="KOD488" s="4"/>
      <c r="KOE488" s="4"/>
      <c r="KOF488" s="4"/>
      <c r="KOG488" s="4"/>
      <c r="KOH488" s="4"/>
      <c r="KOI488" s="4"/>
      <c r="KOJ488" s="4"/>
      <c r="KOK488" s="4"/>
      <c r="KOL488" s="4"/>
      <c r="KOM488" s="4"/>
      <c r="KON488" s="4"/>
      <c r="KOO488" s="4"/>
      <c r="KOP488" s="4"/>
      <c r="KOQ488" s="4"/>
      <c r="KOR488" s="4"/>
      <c r="KOS488" s="4"/>
      <c r="KOT488" s="4"/>
      <c r="KOU488" s="4"/>
      <c r="KOV488" s="4"/>
      <c r="KOW488" s="4"/>
      <c r="KOX488" s="4"/>
      <c r="KOY488" s="4"/>
      <c r="KOZ488" s="4"/>
      <c r="KPA488" s="4"/>
      <c r="KPB488" s="4"/>
      <c r="KPC488" s="4"/>
      <c r="KPD488" s="4"/>
      <c r="KPE488" s="4"/>
      <c r="KPF488" s="4"/>
      <c r="KPG488" s="4"/>
      <c r="KPH488" s="4"/>
      <c r="KPI488" s="4"/>
      <c r="KPJ488" s="4"/>
      <c r="KPK488" s="4"/>
      <c r="KPL488" s="4"/>
      <c r="KPM488" s="4"/>
      <c r="KPN488" s="4"/>
      <c r="KPO488" s="4"/>
      <c r="KPP488" s="4"/>
      <c r="KPQ488" s="4"/>
      <c r="KPR488" s="4"/>
      <c r="KPS488" s="4"/>
      <c r="KPT488" s="4"/>
      <c r="KPU488" s="4"/>
      <c r="KPV488" s="4"/>
      <c r="KPW488" s="4"/>
      <c r="KPX488" s="4"/>
      <c r="KPY488" s="4"/>
      <c r="KPZ488" s="4"/>
      <c r="KQA488" s="4"/>
      <c r="KQB488" s="4"/>
      <c r="KQC488" s="4"/>
      <c r="KQD488" s="4"/>
      <c r="KQE488" s="4"/>
      <c r="KQF488" s="4"/>
      <c r="KQG488" s="4"/>
      <c r="KQH488" s="4"/>
      <c r="KQI488" s="4"/>
      <c r="KQJ488" s="4"/>
      <c r="KQK488" s="4"/>
      <c r="KQL488" s="4"/>
      <c r="KQM488" s="4"/>
      <c r="KQN488" s="4"/>
      <c r="KQO488" s="4"/>
      <c r="KQP488" s="4"/>
      <c r="KQQ488" s="4"/>
      <c r="KQR488" s="4"/>
      <c r="KQS488" s="4"/>
      <c r="KQT488" s="4"/>
      <c r="KQU488" s="4"/>
      <c r="KQV488" s="4"/>
      <c r="KQW488" s="4"/>
      <c r="KQX488" s="4"/>
      <c r="KQY488" s="4"/>
      <c r="KQZ488" s="4"/>
      <c r="KRA488" s="4"/>
      <c r="KRB488" s="4"/>
      <c r="KRC488" s="4"/>
      <c r="KRD488" s="4"/>
      <c r="KRE488" s="4"/>
      <c r="KRF488" s="4"/>
      <c r="KRG488" s="4"/>
      <c r="KRH488" s="4"/>
      <c r="KRI488" s="4"/>
      <c r="KRJ488" s="4"/>
      <c r="KRK488" s="4"/>
      <c r="KRL488" s="4"/>
      <c r="KRM488" s="4"/>
      <c r="KRN488" s="4"/>
      <c r="KRO488" s="4"/>
      <c r="KRP488" s="4"/>
      <c r="KRQ488" s="4"/>
      <c r="KRR488" s="4"/>
      <c r="KRS488" s="4"/>
      <c r="KRT488" s="4"/>
      <c r="KRU488" s="4"/>
      <c r="KRV488" s="4"/>
      <c r="KRW488" s="4"/>
      <c r="KRX488" s="4"/>
      <c r="KRY488" s="4"/>
      <c r="KRZ488" s="4"/>
      <c r="KSA488" s="4"/>
      <c r="KSB488" s="4"/>
      <c r="KSC488" s="4"/>
      <c r="KSD488" s="4"/>
      <c r="KSE488" s="4"/>
      <c r="KSF488" s="4"/>
      <c r="KSG488" s="4"/>
      <c r="KSH488" s="4"/>
      <c r="KSI488" s="4"/>
      <c r="KSJ488" s="4"/>
      <c r="KSK488" s="4"/>
      <c r="KSL488" s="4"/>
      <c r="KSM488" s="4"/>
      <c r="KSN488" s="4"/>
      <c r="KSO488" s="4"/>
      <c r="KSP488" s="4"/>
      <c r="KSQ488" s="4"/>
      <c r="KSR488" s="4"/>
      <c r="KSS488" s="4"/>
      <c r="KST488" s="4"/>
      <c r="KSU488" s="4"/>
      <c r="KSV488" s="4"/>
      <c r="KSW488" s="4"/>
      <c r="KSX488" s="4"/>
      <c r="KSY488" s="4"/>
      <c r="KSZ488" s="4"/>
      <c r="KTA488" s="4"/>
      <c r="KTB488" s="4"/>
      <c r="KTC488" s="4"/>
      <c r="KTD488" s="4"/>
      <c r="KTE488" s="4"/>
      <c r="KTF488" s="4"/>
      <c r="KTG488" s="4"/>
      <c r="KTH488" s="4"/>
      <c r="KTI488" s="4"/>
      <c r="KTJ488" s="4"/>
      <c r="KTK488" s="4"/>
      <c r="KTL488" s="4"/>
      <c r="KTM488" s="4"/>
      <c r="KTN488" s="4"/>
      <c r="KTO488" s="4"/>
      <c r="KTP488" s="4"/>
      <c r="KTQ488" s="4"/>
      <c r="KTR488" s="4"/>
      <c r="KTS488" s="4"/>
      <c r="KTT488" s="4"/>
      <c r="KTU488" s="4"/>
      <c r="KTV488" s="4"/>
      <c r="KTW488" s="4"/>
      <c r="KTX488" s="4"/>
      <c r="KTY488" s="4"/>
      <c r="KTZ488" s="4"/>
      <c r="KUA488" s="4"/>
      <c r="KUB488" s="4"/>
      <c r="KUC488" s="4"/>
      <c r="KUD488" s="4"/>
      <c r="KUE488" s="4"/>
      <c r="KUF488" s="4"/>
      <c r="KUG488" s="4"/>
      <c r="KUH488" s="4"/>
      <c r="KUI488" s="4"/>
      <c r="KUJ488" s="4"/>
      <c r="KUK488" s="4"/>
      <c r="KUL488" s="4"/>
      <c r="KUM488" s="4"/>
      <c r="KUN488" s="4"/>
      <c r="KUO488" s="4"/>
      <c r="KUP488" s="4"/>
      <c r="KUQ488" s="4"/>
      <c r="KUR488" s="4"/>
      <c r="KUS488" s="4"/>
      <c r="KUT488" s="4"/>
      <c r="KUU488" s="4"/>
      <c r="KUV488" s="4"/>
      <c r="KUW488" s="4"/>
      <c r="KUX488" s="4"/>
      <c r="KUY488" s="4"/>
      <c r="KUZ488" s="4"/>
      <c r="KVA488" s="4"/>
      <c r="KVB488" s="4"/>
      <c r="KVC488" s="4"/>
      <c r="KVD488" s="4"/>
      <c r="KVE488" s="4"/>
      <c r="KVF488" s="4"/>
      <c r="KVG488" s="4"/>
      <c r="KVH488" s="4"/>
      <c r="KVI488" s="4"/>
      <c r="KVJ488" s="4"/>
      <c r="KVK488" s="4"/>
      <c r="KVL488" s="4"/>
      <c r="KVM488" s="4"/>
      <c r="KVN488" s="4"/>
      <c r="KVO488" s="4"/>
      <c r="KVP488" s="4"/>
      <c r="KVQ488" s="4"/>
      <c r="KVR488" s="4"/>
      <c r="KVS488" s="4"/>
      <c r="KVT488" s="4"/>
      <c r="KVU488" s="4"/>
      <c r="KVV488" s="4"/>
      <c r="KVW488" s="4"/>
      <c r="KVX488" s="4"/>
      <c r="KVY488" s="4"/>
      <c r="KVZ488" s="4"/>
      <c r="KWA488" s="4"/>
      <c r="KWB488" s="4"/>
      <c r="KWC488" s="4"/>
      <c r="KWD488" s="4"/>
      <c r="KWE488" s="4"/>
      <c r="KWF488" s="4"/>
      <c r="KWG488" s="4"/>
      <c r="KWH488" s="4"/>
      <c r="KWI488" s="4"/>
      <c r="KWJ488" s="4"/>
      <c r="KWK488" s="4"/>
      <c r="KWL488" s="4"/>
      <c r="KWM488" s="4"/>
      <c r="KWN488" s="4"/>
      <c r="KWO488" s="4"/>
      <c r="KWP488" s="4"/>
      <c r="KWQ488" s="4"/>
      <c r="KWR488" s="4"/>
      <c r="KWS488" s="4"/>
      <c r="KWT488" s="4"/>
      <c r="KWU488" s="4"/>
      <c r="KWV488" s="4"/>
      <c r="KWW488" s="4"/>
      <c r="KWX488" s="4"/>
      <c r="KWY488" s="4"/>
      <c r="KWZ488" s="4"/>
      <c r="KXA488" s="4"/>
      <c r="KXB488" s="4"/>
      <c r="KXC488" s="4"/>
      <c r="KXD488" s="4"/>
      <c r="KXE488" s="4"/>
      <c r="KXF488" s="4"/>
      <c r="KXG488" s="4"/>
      <c r="KXH488" s="4"/>
      <c r="KXI488" s="4"/>
      <c r="KXJ488" s="4"/>
      <c r="KXK488" s="4"/>
      <c r="KXL488" s="4"/>
      <c r="KXM488" s="4"/>
      <c r="KXN488" s="4"/>
      <c r="KXO488" s="4"/>
      <c r="KXP488" s="4"/>
      <c r="KXQ488" s="4"/>
      <c r="KXR488" s="4"/>
      <c r="KXS488" s="4"/>
      <c r="KXT488" s="4"/>
      <c r="KXU488" s="4"/>
      <c r="KXV488" s="4"/>
      <c r="KXW488" s="4"/>
      <c r="KXX488" s="4"/>
      <c r="KXY488" s="4"/>
      <c r="KXZ488" s="4"/>
      <c r="KYA488" s="4"/>
      <c r="KYB488" s="4"/>
      <c r="KYC488" s="4"/>
      <c r="KYD488" s="4"/>
      <c r="KYE488" s="4"/>
      <c r="KYF488" s="4"/>
      <c r="KYG488" s="4"/>
      <c r="KYH488" s="4"/>
      <c r="KYI488" s="4"/>
      <c r="KYJ488" s="4"/>
      <c r="KYK488" s="4"/>
      <c r="KYL488" s="4"/>
      <c r="KYM488" s="4"/>
      <c r="KYN488" s="4"/>
      <c r="KYO488" s="4"/>
      <c r="KYP488" s="4"/>
      <c r="KYQ488" s="4"/>
      <c r="KYR488" s="4"/>
      <c r="KYS488" s="4"/>
      <c r="KYT488" s="4"/>
      <c r="KYU488" s="4"/>
      <c r="KYV488" s="4"/>
      <c r="KYW488" s="4"/>
      <c r="KYX488" s="4"/>
      <c r="KYY488" s="4"/>
      <c r="KYZ488" s="4"/>
      <c r="KZA488" s="4"/>
      <c r="KZB488" s="4"/>
      <c r="KZC488" s="4"/>
      <c r="KZD488" s="4"/>
      <c r="KZE488" s="4"/>
      <c r="KZF488" s="4"/>
      <c r="KZG488" s="4"/>
      <c r="KZH488" s="4"/>
      <c r="KZI488" s="4"/>
      <c r="KZJ488" s="4"/>
      <c r="KZK488" s="4"/>
      <c r="KZL488" s="4"/>
      <c r="KZM488" s="4"/>
      <c r="KZN488" s="4"/>
      <c r="KZO488" s="4"/>
      <c r="KZP488" s="4"/>
      <c r="KZQ488" s="4"/>
      <c r="KZR488" s="4"/>
      <c r="KZS488" s="4"/>
      <c r="KZT488" s="4"/>
      <c r="KZU488" s="4"/>
      <c r="KZV488" s="4"/>
      <c r="KZW488" s="4"/>
      <c r="KZX488" s="4"/>
      <c r="KZY488" s="4"/>
      <c r="KZZ488" s="4"/>
      <c r="LAA488" s="4"/>
      <c r="LAB488" s="4"/>
      <c r="LAC488" s="4"/>
      <c r="LAD488" s="4"/>
      <c r="LAE488" s="4"/>
      <c r="LAF488" s="4"/>
      <c r="LAG488" s="4"/>
      <c r="LAH488" s="4"/>
      <c r="LAI488" s="4"/>
      <c r="LAJ488" s="4"/>
      <c r="LAK488" s="4"/>
      <c r="LAL488" s="4"/>
      <c r="LAM488" s="4"/>
      <c r="LAN488" s="4"/>
      <c r="LAO488" s="4"/>
      <c r="LAP488" s="4"/>
      <c r="LAQ488" s="4"/>
      <c r="LAR488" s="4"/>
      <c r="LAS488" s="4"/>
      <c r="LAT488" s="4"/>
      <c r="LAU488" s="4"/>
      <c r="LAV488" s="4"/>
      <c r="LAW488" s="4"/>
      <c r="LAX488" s="4"/>
      <c r="LAY488" s="4"/>
      <c r="LAZ488" s="4"/>
      <c r="LBA488" s="4"/>
      <c r="LBB488" s="4"/>
      <c r="LBC488" s="4"/>
      <c r="LBD488" s="4"/>
      <c r="LBE488" s="4"/>
      <c r="LBF488" s="4"/>
      <c r="LBG488" s="4"/>
      <c r="LBH488" s="4"/>
      <c r="LBI488" s="4"/>
      <c r="LBJ488" s="4"/>
      <c r="LBK488" s="4"/>
      <c r="LBL488" s="4"/>
      <c r="LBM488" s="4"/>
      <c r="LBN488" s="4"/>
      <c r="LBO488" s="4"/>
      <c r="LBP488" s="4"/>
      <c r="LBQ488" s="4"/>
      <c r="LBR488" s="4"/>
      <c r="LBS488" s="4"/>
      <c r="LBT488" s="4"/>
      <c r="LBU488" s="4"/>
      <c r="LBV488" s="4"/>
      <c r="LBW488" s="4"/>
      <c r="LBX488" s="4"/>
      <c r="LBY488" s="4"/>
      <c r="LBZ488" s="4"/>
      <c r="LCA488" s="4"/>
      <c r="LCB488" s="4"/>
      <c r="LCC488" s="4"/>
      <c r="LCD488" s="4"/>
      <c r="LCE488" s="4"/>
      <c r="LCF488" s="4"/>
      <c r="LCG488" s="4"/>
      <c r="LCH488" s="4"/>
      <c r="LCI488" s="4"/>
      <c r="LCJ488" s="4"/>
      <c r="LCK488" s="4"/>
      <c r="LCL488" s="4"/>
      <c r="LCM488" s="4"/>
      <c r="LCN488" s="4"/>
      <c r="LCO488" s="4"/>
      <c r="LCP488" s="4"/>
      <c r="LCQ488" s="4"/>
      <c r="LCR488" s="4"/>
      <c r="LCS488" s="4"/>
      <c r="LCT488" s="4"/>
      <c r="LCU488" s="4"/>
      <c r="LCV488" s="4"/>
      <c r="LCW488" s="4"/>
      <c r="LCX488" s="4"/>
      <c r="LCY488" s="4"/>
      <c r="LCZ488" s="4"/>
      <c r="LDA488" s="4"/>
      <c r="LDB488" s="4"/>
      <c r="LDC488" s="4"/>
      <c r="LDD488" s="4"/>
      <c r="LDE488" s="4"/>
      <c r="LDF488" s="4"/>
      <c r="LDG488" s="4"/>
      <c r="LDH488" s="4"/>
      <c r="LDI488" s="4"/>
      <c r="LDJ488" s="4"/>
      <c r="LDK488" s="4"/>
      <c r="LDL488" s="4"/>
      <c r="LDM488" s="4"/>
      <c r="LDN488" s="4"/>
      <c r="LDO488" s="4"/>
      <c r="LDP488" s="4"/>
      <c r="LDQ488" s="4"/>
      <c r="LDR488" s="4"/>
      <c r="LDS488" s="4"/>
      <c r="LDT488" s="4"/>
      <c r="LDU488" s="4"/>
      <c r="LDV488" s="4"/>
      <c r="LDW488" s="4"/>
      <c r="LDX488" s="4"/>
      <c r="LDY488" s="4"/>
      <c r="LDZ488" s="4"/>
      <c r="LEA488" s="4"/>
      <c r="LEB488" s="4"/>
      <c r="LEC488" s="4"/>
      <c r="LED488" s="4"/>
      <c r="LEE488" s="4"/>
      <c r="LEF488" s="4"/>
      <c r="LEG488" s="4"/>
      <c r="LEH488" s="4"/>
      <c r="LEI488" s="4"/>
      <c r="LEJ488" s="4"/>
      <c r="LEK488" s="4"/>
      <c r="LEL488" s="4"/>
      <c r="LEM488" s="4"/>
      <c r="LEN488" s="4"/>
      <c r="LEO488" s="4"/>
      <c r="LEP488" s="4"/>
      <c r="LEQ488" s="4"/>
      <c r="LER488" s="4"/>
      <c r="LES488" s="4"/>
      <c r="LET488" s="4"/>
      <c r="LEU488" s="4"/>
      <c r="LEV488" s="4"/>
      <c r="LEW488" s="4"/>
      <c r="LEX488" s="4"/>
      <c r="LEY488" s="4"/>
      <c r="LEZ488" s="4"/>
      <c r="LFA488" s="4"/>
      <c r="LFB488" s="4"/>
      <c r="LFC488" s="4"/>
      <c r="LFD488" s="4"/>
      <c r="LFE488" s="4"/>
      <c r="LFF488" s="4"/>
      <c r="LFG488" s="4"/>
      <c r="LFH488" s="4"/>
      <c r="LFI488" s="4"/>
      <c r="LFJ488" s="4"/>
      <c r="LFK488" s="4"/>
      <c r="LFL488" s="4"/>
      <c r="LFM488" s="4"/>
      <c r="LFN488" s="4"/>
      <c r="LFO488" s="4"/>
      <c r="LFP488" s="4"/>
      <c r="LFQ488" s="4"/>
      <c r="LFR488" s="4"/>
      <c r="LFS488" s="4"/>
      <c r="LFT488" s="4"/>
      <c r="LFU488" s="4"/>
      <c r="LFV488" s="4"/>
      <c r="LFW488" s="4"/>
      <c r="LFX488" s="4"/>
      <c r="LFY488" s="4"/>
      <c r="LFZ488" s="4"/>
      <c r="LGA488" s="4"/>
      <c r="LGB488" s="4"/>
      <c r="LGC488" s="4"/>
      <c r="LGD488" s="4"/>
      <c r="LGE488" s="4"/>
      <c r="LGF488" s="4"/>
      <c r="LGG488" s="4"/>
      <c r="LGH488" s="4"/>
      <c r="LGI488" s="4"/>
      <c r="LGJ488" s="4"/>
      <c r="LGK488" s="4"/>
      <c r="LGL488" s="4"/>
      <c r="LGM488" s="4"/>
      <c r="LGN488" s="4"/>
      <c r="LGO488" s="4"/>
      <c r="LGP488" s="4"/>
      <c r="LGQ488" s="4"/>
      <c r="LGR488" s="4"/>
      <c r="LGS488" s="4"/>
      <c r="LGT488" s="4"/>
      <c r="LGU488" s="4"/>
      <c r="LGV488" s="4"/>
      <c r="LGW488" s="4"/>
      <c r="LGX488" s="4"/>
      <c r="LGY488" s="4"/>
      <c r="LGZ488" s="4"/>
      <c r="LHA488" s="4"/>
      <c r="LHB488" s="4"/>
      <c r="LHC488" s="4"/>
      <c r="LHD488" s="4"/>
      <c r="LHE488" s="4"/>
      <c r="LHF488" s="4"/>
      <c r="LHG488" s="4"/>
      <c r="LHH488" s="4"/>
      <c r="LHI488" s="4"/>
      <c r="LHJ488" s="4"/>
      <c r="LHK488" s="4"/>
      <c r="LHL488" s="4"/>
      <c r="LHM488" s="4"/>
      <c r="LHN488" s="4"/>
      <c r="LHO488" s="4"/>
      <c r="LHP488" s="4"/>
      <c r="LHQ488" s="4"/>
      <c r="LHR488" s="4"/>
      <c r="LHS488" s="4"/>
      <c r="LHT488" s="4"/>
      <c r="LHU488" s="4"/>
      <c r="LHV488" s="4"/>
      <c r="LHW488" s="4"/>
      <c r="LHX488" s="4"/>
      <c r="LHY488" s="4"/>
      <c r="LHZ488" s="4"/>
      <c r="LIA488" s="4"/>
      <c r="LIB488" s="4"/>
      <c r="LIC488" s="4"/>
      <c r="LID488" s="4"/>
      <c r="LIE488" s="4"/>
      <c r="LIF488" s="4"/>
      <c r="LIG488" s="4"/>
      <c r="LIH488" s="4"/>
      <c r="LII488" s="4"/>
      <c r="LIJ488" s="4"/>
      <c r="LIK488" s="4"/>
      <c r="LIL488" s="4"/>
      <c r="LIM488" s="4"/>
      <c r="LIN488" s="4"/>
      <c r="LIO488" s="4"/>
      <c r="LIP488" s="4"/>
      <c r="LIQ488" s="4"/>
      <c r="LIR488" s="4"/>
      <c r="LIS488" s="4"/>
      <c r="LIT488" s="4"/>
      <c r="LIU488" s="4"/>
      <c r="LIV488" s="4"/>
      <c r="LIW488" s="4"/>
      <c r="LIX488" s="4"/>
      <c r="LIY488" s="4"/>
      <c r="LIZ488" s="4"/>
      <c r="LJA488" s="4"/>
      <c r="LJB488" s="4"/>
      <c r="LJC488" s="4"/>
      <c r="LJD488" s="4"/>
      <c r="LJE488" s="4"/>
      <c r="LJF488" s="4"/>
      <c r="LJG488" s="4"/>
      <c r="LJH488" s="4"/>
      <c r="LJI488" s="4"/>
      <c r="LJJ488" s="4"/>
      <c r="LJK488" s="4"/>
      <c r="LJL488" s="4"/>
      <c r="LJM488" s="4"/>
      <c r="LJN488" s="4"/>
      <c r="LJO488" s="4"/>
      <c r="LJP488" s="4"/>
      <c r="LJQ488" s="4"/>
      <c r="LJR488" s="4"/>
      <c r="LJS488" s="4"/>
      <c r="LJT488" s="4"/>
      <c r="LJU488" s="4"/>
      <c r="LJV488" s="4"/>
      <c r="LJW488" s="4"/>
      <c r="LJX488" s="4"/>
      <c r="LJY488" s="4"/>
      <c r="LJZ488" s="4"/>
      <c r="LKA488" s="4"/>
      <c r="LKB488" s="4"/>
      <c r="LKC488" s="4"/>
      <c r="LKD488" s="4"/>
      <c r="LKE488" s="4"/>
      <c r="LKF488" s="4"/>
      <c r="LKG488" s="4"/>
      <c r="LKH488" s="4"/>
      <c r="LKI488" s="4"/>
      <c r="LKJ488" s="4"/>
      <c r="LKK488" s="4"/>
      <c r="LKL488" s="4"/>
      <c r="LKM488" s="4"/>
      <c r="LKN488" s="4"/>
      <c r="LKO488" s="4"/>
      <c r="LKP488" s="4"/>
      <c r="LKQ488" s="4"/>
      <c r="LKR488" s="4"/>
      <c r="LKS488" s="4"/>
      <c r="LKT488" s="4"/>
      <c r="LKU488" s="4"/>
      <c r="LKV488" s="4"/>
      <c r="LKW488" s="4"/>
      <c r="LKX488" s="4"/>
      <c r="LKY488" s="4"/>
      <c r="LKZ488" s="4"/>
      <c r="LLA488" s="4"/>
      <c r="LLB488" s="4"/>
      <c r="LLC488" s="4"/>
      <c r="LLD488" s="4"/>
      <c r="LLE488" s="4"/>
      <c r="LLF488" s="4"/>
      <c r="LLG488" s="4"/>
      <c r="LLH488" s="4"/>
      <c r="LLI488" s="4"/>
      <c r="LLJ488" s="4"/>
      <c r="LLK488" s="4"/>
      <c r="LLL488" s="4"/>
      <c r="LLM488" s="4"/>
      <c r="LLN488" s="4"/>
      <c r="LLO488" s="4"/>
      <c r="LLP488" s="4"/>
      <c r="LLQ488" s="4"/>
      <c r="LLR488" s="4"/>
      <c r="LLS488" s="4"/>
      <c r="LLT488" s="4"/>
      <c r="LLU488" s="4"/>
      <c r="LLV488" s="4"/>
      <c r="LLW488" s="4"/>
      <c r="LLX488" s="4"/>
      <c r="LLY488" s="4"/>
      <c r="LLZ488" s="4"/>
      <c r="LMA488" s="4"/>
      <c r="LMB488" s="4"/>
      <c r="LMC488" s="4"/>
      <c r="LMD488" s="4"/>
      <c r="LME488" s="4"/>
      <c r="LMF488" s="4"/>
      <c r="LMG488" s="4"/>
      <c r="LMH488" s="4"/>
      <c r="LMI488" s="4"/>
      <c r="LMJ488" s="4"/>
      <c r="LMK488" s="4"/>
      <c r="LML488" s="4"/>
      <c r="LMM488" s="4"/>
      <c r="LMN488" s="4"/>
      <c r="LMO488" s="4"/>
      <c r="LMP488" s="4"/>
      <c r="LMQ488" s="4"/>
      <c r="LMR488" s="4"/>
      <c r="LMS488" s="4"/>
      <c r="LMT488" s="4"/>
      <c r="LMU488" s="4"/>
      <c r="LMV488" s="4"/>
      <c r="LMW488" s="4"/>
      <c r="LMX488" s="4"/>
      <c r="LMY488" s="4"/>
      <c r="LMZ488" s="4"/>
      <c r="LNA488" s="4"/>
      <c r="LNB488" s="4"/>
      <c r="LNC488" s="4"/>
      <c r="LND488" s="4"/>
      <c r="LNE488" s="4"/>
      <c r="LNF488" s="4"/>
      <c r="LNG488" s="4"/>
      <c r="LNH488" s="4"/>
      <c r="LNI488" s="4"/>
      <c r="LNJ488" s="4"/>
      <c r="LNK488" s="4"/>
      <c r="LNL488" s="4"/>
      <c r="LNM488" s="4"/>
      <c r="LNN488" s="4"/>
      <c r="LNO488" s="4"/>
      <c r="LNP488" s="4"/>
      <c r="LNQ488" s="4"/>
      <c r="LNR488" s="4"/>
      <c r="LNS488" s="4"/>
      <c r="LNT488" s="4"/>
      <c r="LNU488" s="4"/>
      <c r="LNV488" s="4"/>
      <c r="LNW488" s="4"/>
      <c r="LNX488" s="4"/>
      <c r="LNY488" s="4"/>
      <c r="LNZ488" s="4"/>
      <c r="LOA488" s="4"/>
      <c r="LOB488" s="4"/>
      <c r="LOC488" s="4"/>
      <c r="LOD488" s="4"/>
      <c r="LOE488" s="4"/>
      <c r="LOF488" s="4"/>
      <c r="LOG488" s="4"/>
      <c r="LOH488" s="4"/>
      <c r="LOI488" s="4"/>
      <c r="LOJ488" s="4"/>
      <c r="LOK488" s="4"/>
      <c r="LOL488" s="4"/>
      <c r="LOM488" s="4"/>
      <c r="LON488" s="4"/>
      <c r="LOO488" s="4"/>
      <c r="LOP488" s="4"/>
      <c r="LOQ488" s="4"/>
      <c r="LOR488" s="4"/>
      <c r="LOS488" s="4"/>
      <c r="LOT488" s="4"/>
      <c r="LOU488" s="4"/>
      <c r="LOV488" s="4"/>
      <c r="LOW488" s="4"/>
      <c r="LOX488" s="4"/>
      <c r="LOY488" s="4"/>
      <c r="LOZ488" s="4"/>
      <c r="LPA488" s="4"/>
      <c r="LPB488" s="4"/>
      <c r="LPC488" s="4"/>
      <c r="LPD488" s="4"/>
      <c r="LPE488" s="4"/>
      <c r="LPF488" s="4"/>
      <c r="LPG488" s="4"/>
      <c r="LPH488" s="4"/>
      <c r="LPI488" s="4"/>
      <c r="LPJ488" s="4"/>
      <c r="LPK488" s="4"/>
      <c r="LPL488" s="4"/>
      <c r="LPM488" s="4"/>
      <c r="LPN488" s="4"/>
      <c r="LPO488" s="4"/>
      <c r="LPP488" s="4"/>
      <c r="LPQ488" s="4"/>
      <c r="LPR488" s="4"/>
      <c r="LPS488" s="4"/>
      <c r="LPT488" s="4"/>
      <c r="LPU488" s="4"/>
      <c r="LPV488" s="4"/>
      <c r="LPW488" s="4"/>
      <c r="LPX488" s="4"/>
      <c r="LPY488" s="4"/>
      <c r="LPZ488" s="4"/>
      <c r="LQA488" s="4"/>
      <c r="LQB488" s="4"/>
      <c r="LQC488" s="4"/>
      <c r="LQD488" s="4"/>
      <c r="LQE488" s="4"/>
      <c r="LQF488" s="4"/>
      <c r="LQG488" s="4"/>
      <c r="LQH488" s="4"/>
      <c r="LQI488" s="4"/>
      <c r="LQJ488" s="4"/>
      <c r="LQK488" s="4"/>
      <c r="LQL488" s="4"/>
      <c r="LQM488" s="4"/>
      <c r="LQN488" s="4"/>
      <c r="LQO488" s="4"/>
      <c r="LQP488" s="4"/>
      <c r="LQQ488" s="4"/>
      <c r="LQR488" s="4"/>
      <c r="LQS488" s="4"/>
      <c r="LQT488" s="4"/>
      <c r="LQU488" s="4"/>
      <c r="LQV488" s="4"/>
      <c r="LQW488" s="4"/>
      <c r="LQX488" s="4"/>
      <c r="LQY488" s="4"/>
      <c r="LQZ488" s="4"/>
      <c r="LRA488" s="4"/>
      <c r="LRB488" s="4"/>
      <c r="LRC488" s="4"/>
      <c r="LRD488" s="4"/>
      <c r="LRE488" s="4"/>
      <c r="LRF488" s="4"/>
      <c r="LRG488" s="4"/>
      <c r="LRH488" s="4"/>
      <c r="LRI488" s="4"/>
      <c r="LRJ488" s="4"/>
      <c r="LRK488" s="4"/>
      <c r="LRL488" s="4"/>
      <c r="LRM488" s="4"/>
      <c r="LRN488" s="4"/>
      <c r="LRO488" s="4"/>
      <c r="LRP488" s="4"/>
      <c r="LRQ488" s="4"/>
      <c r="LRR488" s="4"/>
      <c r="LRS488" s="4"/>
      <c r="LRT488" s="4"/>
      <c r="LRU488" s="4"/>
      <c r="LRV488" s="4"/>
      <c r="LRW488" s="4"/>
      <c r="LRX488" s="4"/>
      <c r="LRY488" s="4"/>
      <c r="LRZ488" s="4"/>
      <c r="LSA488" s="4"/>
      <c r="LSB488" s="4"/>
      <c r="LSC488" s="4"/>
      <c r="LSD488" s="4"/>
      <c r="LSE488" s="4"/>
      <c r="LSF488" s="4"/>
      <c r="LSG488" s="4"/>
      <c r="LSH488" s="4"/>
      <c r="LSI488" s="4"/>
      <c r="LSJ488" s="4"/>
      <c r="LSK488" s="4"/>
      <c r="LSL488" s="4"/>
      <c r="LSM488" s="4"/>
      <c r="LSN488" s="4"/>
      <c r="LSO488" s="4"/>
      <c r="LSP488" s="4"/>
      <c r="LSQ488" s="4"/>
      <c r="LSR488" s="4"/>
      <c r="LSS488" s="4"/>
      <c r="LST488" s="4"/>
      <c r="LSU488" s="4"/>
      <c r="LSV488" s="4"/>
      <c r="LSW488" s="4"/>
      <c r="LSX488" s="4"/>
      <c r="LSY488" s="4"/>
      <c r="LSZ488" s="4"/>
      <c r="LTA488" s="4"/>
      <c r="LTB488" s="4"/>
      <c r="LTC488" s="4"/>
      <c r="LTD488" s="4"/>
      <c r="LTE488" s="4"/>
      <c r="LTF488" s="4"/>
      <c r="LTG488" s="4"/>
      <c r="LTH488" s="4"/>
      <c r="LTI488" s="4"/>
      <c r="LTJ488" s="4"/>
      <c r="LTK488" s="4"/>
      <c r="LTL488" s="4"/>
      <c r="LTM488" s="4"/>
      <c r="LTN488" s="4"/>
      <c r="LTO488" s="4"/>
      <c r="LTP488" s="4"/>
      <c r="LTQ488" s="4"/>
      <c r="LTR488" s="4"/>
      <c r="LTS488" s="4"/>
      <c r="LTT488" s="4"/>
      <c r="LTU488" s="4"/>
      <c r="LTV488" s="4"/>
      <c r="LTW488" s="4"/>
      <c r="LTX488" s="4"/>
      <c r="LTY488" s="4"/>
      <c r="LTZ488" s="4"/>
      <c r="LUA488" s="4"/>
      <c r="LUB488" s="4"/>
      <c r="LUC488" s="4"/>
      <c r="LUD488" s="4"/>
      <c r="LUE488" s="4"/>
      <c r="LUF488" s="4"/>
      <c r="LUG488" s="4"/>
      <c r="LUH488" s="4"/>
      <c r="LUI488" s="4"/>
      <c r="LUJ488" s="4"/>
      <c r="LUK488" s="4"/>
      <c r="LUL488" s="4"/>
      <c r="LUM488" s="4"/>
      <c r="LUN488" s="4"/>
      <c r="LUO488" s="4"/>
      <c r="LUP488" s="4"/>
      <c r="LUQ488" s="4"/>
      <c r="LUR488" s="4"/>
      <c r="LUS488" s="4"/>
      <c r="LUT488" s="4"/>
      <c r="LUU488" s="4"/>
      <c r="LUV488" s="4"/>
      <c r="LUW488" s="4"/>
      <c r="LUX488" s="4"/>
      <c r="LUY488" s="4"/>
      <c r="LUZ488" s="4"/>
      <c r="LVA488" s="4"/>
      <c r="LVB488" s="4"/>
      <c r="LVC488" s="4"/>
      <c r="LVD488" s="4"/>
      <c r="LVE488" s="4"/>
      <c r="LVF488" s="4"/>
      <c r="LVG488" s="4"/>
      <c r="LVH488" s="4"/>
      <c r="LVI488" s="4"/>
      <c r="LVJ488" s="4"/>
      <c r="LVK488" s="4"/>
      <c r="LVL488" s="4"/>
      <c r="LVM488" s="4"/>
      <c r="LVN488" s="4"/>
      <c r="LVO488" s="4"/>
      <c r="LVP488" s="4"/>
      <c r="LVQ488" s="4"/>
      <c r="LVR488" s="4"/>
      <c r="LVS488" s="4"/>
      <c r="LVT488" s="4"/>
      <c r="LVU488" s="4"/>
      <c r="LVV488" s="4"/>
      <c r="LVW488" s="4"/>
      <c r="LVX488" s="4"/>
      <c r="LVY488" s="4"/>
      <c r="LVZ488" s="4"/>
      <c r="LWA488" s="4"/>
      <c r="LWB488" s="4"/>
      <c r="LWC488" s="4"/>
      <c r="LWD488" s="4"/>
      <c r="LWE488" s="4"/>
      <c r="LWF488" s="4"/>
      <c r="LWG488" s="4"/>
      <c r="LWH488" s="4"/>
      <c r="LWI488" s="4"/>
      <c r="LWJ488" s="4"/>
      <c r="LWK488" s="4"/>
      <c r="LWL488" s="4"/>
      <c r="LWM488" s="4"/>
      <c r="LWN488" s="4"/>
      <c r="LWO488" s="4"/>
      <c r="LWP488" s="4"/>
      <c r="LWQ488" s="4"/>
      <c r="LWR488" s="4"/>
      <c r="LWS488" s="4"/>
      <c r="LWT488" s="4"/>
      <c r="LWU488" s="4"/>
      <c r="LWV488" s="4"/>
      <c r="LWW488" s="4"/>
      <c r="LWX488" s="4"/>
      <c r="LWY488" s="4"/>
      <c r="LWZ488" s="4"/>
      <c r="LXA488" s="4"/>
      <c r="LXB488" s="4"/>
      <c r="LXC488" s="4"/>
      <c r="LXD488" s="4"/>
      <c r="LXE488" s="4"/>
      <c r="LXF488" s="4"/>
      <c r="LXG488" s="4"/>
      <c r="LXH488" s="4"/>
      <c r="LXI488" s="4"/>
      <c r="LXJ488" s="4"/>
      <c r="LXK488" s="4"/>
      <c r="LXL488" s="4"/>
      <c r="LXM488" s="4"/>
      <c r="LXN488" s="4"/>
      <c r="LXO488" s="4"/>
      <c r="LXP488" s="4"/>
      <c r="LXQ488" s="4"/>
      <c r="LXR488" s="4"/>
      <c r="LXS488" s="4"/>
      <c r="LXT488" s="4"/>
      <c r="LXU488" s="4"/>
      <c r="LXV488" s="4"/>
      <c r="LXW488" s="4"/>
      <c r="LXX488" s="4"/>
      <c r="LXY488" s="4"/>
      <c r="LXZ488" s="4"/>
      <c r="LYA488" s="4"/>
      <c r="LYB488" s="4"/>
      <c r="LYC488" s="4"/>
      <c r="LYD488" s="4"/>
      <c r="LYE488" s="4"/>
      <c r="LYF488" s="4"/>
      <c r="LYG488" s="4"/>
      <c r="LYH488" s="4"/>
      <c r="LYI488" s="4"/>
      <c r="LYJ488" s="4"/>
      <c r="LYK488" s="4"/>
      <c r="LYL488" s="4"/>
      <c r="LYM488" s="4"/>
      <c r="LYN488" s="4"/>
      <c r="LYO488" s="4"/>
      <c r="LYP488" s="4"/>
      <c r="LYQ488" s="4"/>
      <c r="LYR488" s="4"/>
      <c r="LYS488" s="4"/>
      <c r="LYT488" s="4"/>
      <c r="LYU488" s="4"/>
      <c r="LYV488" s="4"/>
      <c r="LYW488" s="4"/>
      <c r="LYX488" s="4"/>
      <c r="LYY488" s="4"/>
      <c r="LYZ488" s="4"/>
      <c r="LZA488" s="4"/>
      <c r="LZB488" s="4"/>
      <c r="LZC488" s="4"/>
      <c r="LZD488" s="4"/>
      <c r="LZE488" s="4"/>
      <c r="LZF488" s="4"/>
      <c r="LZG488" s="4"/>
      <c r="LZH488" s="4"/>
      <c r="LZI488" s="4"/>
      <c r="LZJ488" s="4"/>
      <c r="LZK488" s="4"/>
      <c r="LZL488" s="4"/>
      <c r="LZM488" s="4"/>
      <c r="LZN488" s="4"/>
      <c r="LZO488" s="4"/>
      <c r="LZP488" s="4"/>
      <c r="LZQ488" s="4"/>
      <c r="LZR488" s="4"/>
      <c r="LZS488" s="4"/>
      <c r="LZT488" s="4"/>
      <c r="LZU488" s="4"/>
      <c r="LZV488" s="4"/>
      <c r="LZW488" s="4"/>
      <c r="LZX488" s="4"/>
      <c r="LZY488" s="4"/>
      <c r="LZZ488" s="4"/>
      <c r="MAA488" s="4"/>
      <c r="MAB488" s="4"/>
      <c r="MAC488" s="4"/>
      <c r="MAD488" s="4"/>
      <c r="MAE488" s="4"/>
      <c r="MAF488" s="4"/>
      <c r="MAG488" s="4"/>
      <c r="MAH488" s="4"/>
      <c r="MAI488" s="4"/>
      <c r="MAJ488" s="4"/>
      <c r="MAK488" s="4"/>
      <c r="MAL488" s="4"/>
      <c r="MAM488" s="4"/>
      <c r="MAN488" s="4"/>
      <c r="MAO488" s="4"/>
      <c r="MAP488" s="4"/>
      <c r="MAQ488" s="4"/>
      <c r="MAR488" s="4"/>
      <c r="MAS488" s="4"/>
      <c r="MAT488" s="4"/>
      <c r="MAU488" s="4"/>
      <c r="MAV488" s="4"/>
      <c r="MAW488" s="4"/>
      <c r="MAX488" s="4"/>
      <c r="MAY488" s="4"/>
      <c r="MAZ488" s="4"/>
      <c r="MBA488" s="4"/>
      <c r="MBB488" s="4"/>
      <c r="MBC488" s="4"/>
      <c r="MBD488" s="4"/>
      <c r="MBE488" s="4"/>
      <c r="MBF488" s="4"/>
      <c r="MBG488" s="4"/>
      <c r="MBH488" s="4"/>
      <c r="MBI488" s="4"/>
      <c r="MBJ488" s="4"/>
      <c r="MBK488" s="4"/>
      <c r="MBL488" s="4"/>
      <c r="MBM488" s="4"/>
      <c r="MBN488" s="4"/>
      <c r="MBO488" s="4"/>
      <c r="MBP488" s="4"/>
      <c r="MBQ488" s="4"/>
      <c r="MBR488" s="4"/>
      <c r="MBS488" s="4"/>
      <c r="MBT488" s="4"/>
      <c r="MBU488" s="4"/>
      <c r="MBV488" s="4"/>
      <c r="MBW488" s="4"/>
      <c r="MBX488" s="4"/>
      <c r="MBY488" s="4"/>
      <c r="MBZ488" s="4"/>
      <c r="MCA488" s="4"/>
      <c r="MCB488" s="4"/>
      <c r="MCC488" s="4"/>
      <c r="MCD488" s="4"/>
      <c r="MCE488" s="4"/>
      <c r="MCF488" s="4"/>
      <c r="MCG488" s="4"/>
      <c r="MCH488" s="4"/>
      <c r="MCI488" s="4"/>
      <c r="MCJ488" s="4"/>
      <c r="MCK488" s="4"/>
      <c r="MCL488" s="4"/>
      <c r="MCM488" s="4"/>
      <c r="MCN488" s="4"/>
      <c r="MCO488" s="4"/>
      <c r="MCP488" s="4"/>
      <c r="MCQ488" s="4"/>
      <c r="MCR488" s="4"/>
      <c r="MCS488" s="4"/>
      <c r="MCT488" s="4"/>
      <c r="MCU488" s="4"/>
      <c r="MCV488" s="4"/>
      <c r="MCW488" s="4"/>
      <c r="MCX488" s="4"/>
      <c r="MCY488" s="4"/>
      <c r="MCZ488" s="4"/>
      <c r="MDA488" s="4"/>
      <c r="MDB488" s="4"/>
      <c r="MDC488" s="4"/>
      <c r="MDD488" s="4"/>
      <c r="MDE488" s="4"/>
      <c r="MDF488" s="4"/>
      <c r="MDG488" s="4"/>
      <c r="MDH488" s="4"/>
      <c r="MDI488" s="4"/>
      <c r="MDJ488" s="4"/>
      <c r="MDK488" s="4"/>
      <c r="MDL488" s="4"/>
      <c r="MDM488" s="4"/>
      <c r="MDN488" s="4"/>
      <c r="MDO488" s="4"/>
      <c r="MDP488" s="4"/>
      <c r="MDQ488" s="4"/>
      <c r="MDR488" s="4"/>
      <c r="MDS488" s="4"/>
      <c r="MDT488" s="4"/>
      <c r="MDU488" s="4"/>
      <c r="MDV488" s="4"/>
      <c r="MDW488" s="4"/>
      <c r="MDX488" s="4"/>
      <c r="MDY488" s="4"/>
      <c r="MDZ488" s="4"/>
      <c r="MEA488" s="4"/>
      <c r="MEB488" s="4"/>
      <c r="MEC488" s="4"/>
      <c r="MED488" s="4"/>
      <c r="MEE488" s="4"/>
      <c r="MEF488" s="4"/>
      <c r="MEG488" s="4"/>
      <c r="MEH488" s="4"/>
      <c r="MEI488" s="4"/>
      <c r="MEJ488" s="4"/>
      <c r="MEK488" s="4"/>
      <c r="MEL488" s="4"/>
      <c r="MEM488" s="4"/>
      <c r="MEN488" s="4"/>
      <c r="MEO488" s="4"/>
      <c r="MEP488" s="4"/>
      <c r="MEQ488" s="4"/>
      <c r="MER488" s="4"/>
      <c r="MES488" s="4"/>
      <c r="MET488" s="4"/>
      <c r="MEU488" s="4"/>
      <c r="MEV488" s="4"/>
      <c r="MEW488" s="4"/>
      <c r="MEX488" s="4"/>
      <c r="MEY488" s="4"/>
      <c r="MEZ488" s="4"/>
      <c r="MFA488" s="4"/>
      <c r="MFB488" s="4"/>
      <c r="MFC488" s="4"/>
      <c r="MFD488" s="4"/>
      <c r="MFE488" s="4"/>
      <c r="MFF488" s="4"/>
      <c r="MFG488" s="4"/>
      <c r="MFH488" s="4"/>
      <c r="MFI488" s="4"/>
      <c r="MFJ488" s="4"/>
      <c r="MFK488" s="4"/>
      <c r="MFL488" s="4"/>
      <c r="MFM488" s="4"/>
      <c r="MFN488" s="4"/>
      <c r="MFO488" s="4"/>
      <c r="MFP488" s="4"/>
      <c r="MFQ488" s="4"/>
      <c r="MFR488" s="4"/>
      <c r="MFS488" s="4"/>
      <c r="MFT488" s="4"/>
      <c r="MFU488" s="4"/>
      <c r="MFV488" s="4"/>
      <c r="MFW488" s="4"/>
      <c r="MFX488" s="4"/>
      <c r="MFY488" s="4"/>
      <c r="MFZ488" s="4"/>
      <c r="MGA488" s="4"/>
      <c r="MGB488" s="4"/>
      <c r="MGC488" s="4"/>
      <c r="MGD488" s="4"/>
      <c r="MGE488" s="4"/>
      <c r="MGF488" s="4"/>
      <c r="MGG488" s="4"/>
      <c r="MGH488" s="4"/>
      <c r="MGI488" s="4"/>
      <c r="MGJ488" s="4"/>
      <c r="MGK488" s="4"/>
      <c r="MGL488" s="4"/>
      <c r="MGM488" s="4"/>
      <c r="MGN488" s="4"/>
      <c r="MGO488" s="4"/>
      <c r="MGP488" s="4"/>
      <c r="MGQ488" s="4"/>
      <c r="MGR488" s="4"/>
      <c r="MGS488" s="4"/>
      <c r="MGT488" s="4"/>
      <c r="MGU488" s="4"/>
      <c r="MGV488" s="4"/>
      <c r="MGW488" s="4"/>
      <c r="MGX488" s="4"/>
      <c r="MGY488" s="4"/>
      <c r="MGZ488" s="4"/>
      <c r="MHA488" s="4"/>
      <c r="MHB488" s="4"/>
      <c r="MHC488" s="4"/>
      <c r="MHD488" s="4"/>
      <c r="MHE488" s="4"/>
      <c r="MHF488" s="4"/>
      <c r="MHG488" s="4"/>
      <c r="MHH488" s="4"/>
      <c r="MHI488" s="4"/>
      <c r="MHJ488" s="4"/>
      <c r="MHK488" s="4"/>
      <c r="MHL488" s="4"/>
      <c r="MHM488" s="4"/>
      <c r="MHN488" s="4"/>
      <c r="MHO488" s="4"/>
      <c r="MHP488" s="4"/>
      <c r="MHQ488" s="4"/>
      <c r="MHR488" s="4"/>
      <c r="MHS488" s="4"/>
      <c r="MHT488" s="4"/>
      <c r="MHU488" s="4"/>
      <c r="MHV488" s="4"/>
      <c r="MHW488" s="4"/>
      <c r="MHX488" s="4"/>
      <c r="MHY488" s="4"/>
      <c r="MHZ488" s="4"/>
      <c r="MIA488" s="4"/>
      <c r="MIB488" s="4"/>
      <c r="MIC488" s="4"/>
      <c r="MID488" s="4"/>
      <c r="MIE488" s="4"/>
      <c r="MIF488" s="4"/>
      <c r="MIG488" s="4"/>
      <c r="MIH488" s="4"/>
      <c r="MII488" s="4"/>
      <c r="MIJ488" s="4"/>
      <c r="MIK488" s="4"/>
      <c r="MIL488" s="4"/>
      <c r="MIM488" s="4"/>
      <c r="MIN488" s="4"/>
      <c r="MIO488" s="4"/>
      <c r="MIP488" s="4"/>
      <c r="MIQ488" s="4"/>
      <c r="MIR488" s="4"/>
      <c r="MIS488" s="4"/>
      <c r="MIT488" s="4"/>
      <c r="MIU488" s="4"/>
      <c r="MIV488" s="4"/>
      <c r="MIW488" s="4"/>
      <c r="MIX488" s="4"/>
      <c r="MIY488" s="4"/>
      <c r="MIZ488" s="4"/>
      <c r="MJA488" s="4"/>
      <c r="MJB488" s="4"/>
      <c r="MJC488" s="4"/>
      <c r="MJD488" s="4"/>
      <c r="MJE488" s="4"/>
      <c r="MJF488" s="4"/>
      <c r="MJG488" s="4"/>
      <c r="MJH488" s="4"/>
      <c r="MJI488" s="4"/>
      <c r="MJJ488" s="4"/>
      <c r="MJK488" s="4"/>
      <c r="MJL488" s="4"/>
      <c r="MJM488" s="4"/>
      <c r="MJN488" s="4"/>
      <c r="MJO488" s="4"/>
      <c r="MJP488" s="4"/>
      <c r="MJQ488" s="4"/>
      <c r="MJR488" s="4"/>
      <c r="MJS488" s="4"/>
      <c r="MJT488" s="4"/>
      <c r="MJU488" s="4"/>
      <c r="MJV488" s="4"/>
      <c r="MJW488" s="4"/>
      <c r="MJX488" s="4"/>
      <c r="MJY488" s="4"/>
      <c r="MJZ488" s="4"/>
      <c r="MKA488" s="4"/>
      <c r="MKB488" s="4"/>
      <c r="MKC488" s="4"/>
      <c r="MKD488" s="4"/>
      <c r="MKE488" s="4"/>
      <c r="MKF488" s="4"/>
      <c r="MKG488" s="4"/>
      <c r="MKH488" s="4"/>
      <c r="MKI488" s="4"/>
      <c r="MKJ488" s="4"/>
      <c r="MKK488" s="4"/>
      <c r="MKL488" s="4"/>
      <c r="MKM488" s="4"/>
      <c r="MKN488" s="4"/>
      <c r="MKO488" s="4"/>
      <c r="MKP488" s="4"/>
      <c r="MKQ488" s="4"/>
      <c r="MKR488" s="4"/>
      <c r="MKS488" s="4"/>
      <c r="MKT488" s="4"/>
      <c r="MKU488" s="4"/>
      <c r="MKV488" s="4"/>
      <c r="MKW488" s="4"/>
      <c r="MKX488" s="4"/>
      <c r="MKY488" s="4"/>
      <c r="MKZ488" s="4"/>
      <c r="MLA488" s="4"/>
      <c r="MLB488" s="4"/>
      <c r="MLC488" s="4"/>
      <c r="MLD488" s="4"/>
      <c r="MLE488" s="4"/>
      <c r="MLF488" s="4"/>
      <c r="MLG488" s="4"/>
      <c r="MLH488" s="4"/>
      <c r="MLI488" s="4"/>
      <c r="MLJ488" s="4"/>
      <c r="MLK488" s="4"/>
      <c r="MLL488" s="4"/>
      <c r="MLM488" s="4"/>
      <c r="MLN488" s="4"/>
      <c r="MLO488" s="4"/>
      <c r="MLP488" s="4"/>
      <c r="MLQ488" s="4"/>
      <c r="MLR488" s="4"/>
      <c r="MLS488" s="4"/>
      <c r="MLT488" s="4"/>
      <c r="MLU488" s="4"/>
      <c r="MLV488" s="4"/>
      <c r="MLW488" s="4"/>
      <c r="MLX488" s="4"/>
      <c r="MLY488" s="4"/>
      <c r="MLZ488" s="4"/>
      <c r="MMA488" s="4"/>
      <c r="MMB488" s="4"/>
      <c r="MMC488" s="4"/>
      <c r="MMD488" s="4"/>
      <c r="MME488" s="4"/>
      <c r="MMF488" s="4"/>
      <c r="MMG488" s="4"/>
      <c r="MMH488" s="4"/>
      <c r="MMI488" s="4"/>
      <c r="MMJ488" s="4"/>
      <c r="MMK488" s="4"/>
      <c r="MML488" s="4"/>
      <c r="MMM488" s="4"/>
      <c r="MMN488" s="4"/>
      <c r="MMO488" s="4"/>
      <c r="MMP488" s="4"/>
      <c r="MMQ488" s="4"/>
      <c r="MMR488" s="4"/>
      <c r="MMS488" s="4"/>
      <c r="MMT488" s="4"/>
      <c r="MMU488" s="4"/>
      <c r="MMV488" s="4"/>
      <c r="MMW488" s="4"/>
      <c r="MMX488" s="4"/>
      <c r="MMY488" s="4"/>
      <c r="MMZ488" s="4"/>
      <c r="MNA488" s="4"/>
      <c r="MNB488" s="4"/>
      <c r="MNC488" s="4"/>
      <c r="MND488" s="4"/>
      <c r="MNE488" s="4"/>
      <c r="MNF488" s="4"/>
      <c r="MNG488" s="4"/>
      <c r="MNH488" s="4"/>
      <c r="MNI488" s="4"/>
      <c r="MNJ488" s="4"/>
      <c r="MNK488" s="4"/>
      <c r="MNL488" s="4"/>
      <c r="MNM488" s="4"/>
      <c r="MNN488" s="4"/>
      <c r="MNO488" s="4"/>
      <c r="MNP488" s="4"/>
      <c r="MNQ488" s="4"/>
      <c r="MNR488" s="4"/>
      <c r="MNS488" s="4"/>
      <c r="MNT488" s="4"/>
      <c r="MNU488" s="4"/>
      <c r="MNV488" s="4"/>
      <c r="MNW488" s="4"/>
      <c r="MNX488" s="4"/>
      <c r="MNY488" s="4"/>
      <c r="MNZ488" s="4"/>
      <c r="MOA488" s="4"/>
      <c r="MOB488" s="4"/>
      <c r="MOC488" s="4"/>
      <c r="MOD488" s="4"/>
      <c r="MOE488" s="4"/>
      <c r="MOF488" s="4"/>
      <c r="MOG488" s="4"/>
      <c r="MOH488" s="4"/>
      <c r="MOI488" s="4"/>
      <c r="MOJ488" s="4"/>
      <c r="MOK488" s="4"/>
      <c r="MOL488" s="4"/>
      <c r="MOM488" s="4"/>
      <c r="MON488" s="4"/>
      <c r="MOO488" s="4"/>
      <c r="MOP488" s="4"/>
      <c r="MOQ488" s="4"/>
      <c r="MOR488" s="4"/>
      <c r="MOS488" s="4"/>
      <c r="MOT488" s="4"/>
      <c r="MOU488" s="4"/>
      <c r="MOV488" s="4"/>
      <c r="MOW488" s="4"/>
      <c r="MOX488" s="4"/>
      <c r="MOY488" s="4"/>
      <c r="MOZ488" s="4"/>
      <c r="MPA488" s="4"/>
      <c r="MPB488" s="4"/>
      <c r="MPC488" s="4"/>
      <c r="MPD488" s="4"/>
      <c r="MPE488" s="4"/>
      <c r="MPF488" s="4"/>
      <c r="MPG488" s="4"/>
      <c r="MPH488" s="4"/>
      <c r="MPI488" s="4"/>
      <c r="MPJ488" s="4"/>
      <c r="MPK488" s="4"/>
      <c r="MPL488" s="4"/>
      <c r="MPM488" s="4"/>
      <c r="MPN488" s="4"/>
      <c r="MPO488" s="4"/>
      <c r="MPP488" s="4"/>
      <c r="MPQ488" s="4"/>
      <c r="MPR488" s="4"/>
      <c r="MPS488" s="4"/>
      <c r="MPT488" s="4"/>
      <c r="MPU488" s="4"/>
      <c r="MPV488" s="4"/>
      <c r="MPW488" s="4"/>
      <c r="MPX488" s="4"/>
      <c r="MPY488" s="4"/>
      <c r="MPZ488" s="4"/>
      <c r="MQA488" s="4"/>
      <c r="MQB488" s="4"/>
      <c r="MQC488" s="4"/>
      <c r="MQD488" s="4"/>
      <c r="MQE488" s="4"/>
      <c r="MQF488" s="4"/>
      <c r="MQG488" s="4"/>
      <c r="MQH488" s="4"/>
      <c r="MQI488" s="4"/>
      <c r="MQJ488" s="4"/>
      <c r="MQK488" s="4"/>
      <c r="MQL488" s="4"/>
      <c r="MQM488" s="4"/>
      <c r="MQN488" s="4"/>
      <c r="MQO488" s="4"/>
      <c r="MQP488" s="4"/>
      <c r="MQQ488" s="4"/>
      <c r="MQR488" s="4"/>
      <c r="MQS488" s="4"/>
      <c r="MQT488" s="4"/>
      <c r="MQU488" s="4"/>
      <c r="MQV488" s="4"/>
      <c r="MQW488" s="4"/>
      <c r="MQX488" s="4"/>
      <c r="MQY488" s="4"/>
      <c r="MQZ488" s="4"/>
      <c r="MRA488" s="4"/>
      <c r="MRB488" s="4"/>
      <c r="MRC488" s="4"/>
      <c r="MRD488" s="4"/>
      <c r="MRE488" s="4"/>
      <c r="MRF488" s="4"/>
      <c r="MRG488" s="4"/>
      <c r="MRH488" s="4"/>
      <c r="MRI488" s="4"/>
      <c r="MRJ488" s="4"/>
      <c r="MRK488" s="4"/>
      <c r="MRL488" s="4"/>
      <c r="MRM488" s="4"/>
      <c r="MRN488" s="4"/>
      <c r="MRO488" s="4"/>
      <c r="MRP488" s="4"/>
      <c r="MRQ488" s="4"/>
      <c r="MRR488" s="4"/>
      <c r="MRS488" s="4"/>
      <c r="MRT488" s="4"/>
      <c r="MRU488" s="4"/>
      <c r="MRV488" s="4"/>
      <c r="MRW488" s="4"/>
      <c r="MRX488" s="4"/>
      <c r="MRY488" s="4"/>
      <c r="MRZ488" s="4"/>
      <c r="MSA488" s="4"/>
      <c r="MSB488" s="4"/>
      <c r="MSC488" s="4"/>
      <c r="MSD488" s="4"/>
      <c r="MSE488" s="4"/>
      <c r="MSF488" s="4"/>
      <c r="MSG488" s="4"/>
      <c r="MSH488" s="4"/>
      <c r="MSI488" s="4"/>
      <c r="MSJ488" s="4"/>
      <c r="MSK488" s="4"/>
      <c r="MSL488" s="4"/>
      <c r="MSM488" s="4"/>
      <c r="MSN488" s="4"/>
      <c r="MSO488" s="4"/>
      <c r="MSP488" s="4"/>
      <c r="MSQ488" s="4"/>
      <c r="MSR488" s="4"/>
      <c r="MSS488" s="4"/>
      <c r="MST488" s="4"/>
      <c r="MSU488" s="4"/>
      <c r="MSV488" s="4"/>
      <c r="MSW488" s="4"/>
      <c r="MSX488" s="4"/>
      <c r="MSY488" s="4"/>
      <c r="MSZ488" s="4"/>
      <c r="MTA488" s="4"/>
      <c r="MTB488" s="4"/>
      <c r="MTC488" s="4"/>
      <c r="MTD488" s="4"/>
      <c r="MTE488" s="4"/>
      <c r="MTF488" s="4"/>
      <c r="MTG488" s="4"/>
      <c r="MTH488" s="4"/>
      <c r="MTI488" s="4"/>
      <c r="MTJ488" s="4"/>
      <c r="MTK488" s="4"/>
      <c r="MTL488" s="4"/>
      <c r="MTM488" s="4"/>
      <c r="MTN488" s="4"/>
      <c r="MTO488" s="4"/>
      <c r="MTP488" s="4"/>
      <c r="MTQ488" s="4"/>
      <c r="MTR488" s="4"/>
      <c r="MTS488" s="4"/>
      <c r="MTT488" s="4"/>
      <c r="MTU488" s="4"/>
      <c r="MTV488" s="4"/>
      <c r="MTW488" s="4"/>
      <c r="MTX488" s="4"/>
      <c r="MTY488" s="4"/>
      <c r="MTZ488" s="4"/>
      <c r="MUA488" s="4"/>
      <c r="MUB488" s="4"/>
      <c r="MUC488" s="4"/>
      <c r="MUD488" s="4"/>
      <c r="MUE488" s="4"/>
      <c r="MUF488" s="4"/>
      <c r="MUG488" s="4"/>
      <c r="MUH488" s="4"/>
      <c r="MUI488" s="4"/>
      <c r="MUJ488" s="4"/>
      <c r="MUK488" s="4"/>
      <c r="MUL488" s="4"/>
      <c r="MUM488" s="4"/>
      <c r="MUN488" s="4"/>
      <c r="MUO488" s="4"/>
      <c r="MUP488" s="4"/>
      <c r="MUQ488" s="4"/>
      <c r="MUR488" s="4"/>
      <c r="MUS488" s="4"/>
      <c r="MUT488" s="4"/>
      <c r="MUU488" s="4"/>
      <c r="MUV488" s="4"/>
      <c r="MUW488" s="4"/>
      <c r="MUX488" s="4"/>
      <c r="MUY488" s="4"/>
      <c r="MUZ488" s="4"/>
      <c r="MVA488" s="4"/>
      <c r="MVB488" s="4"/>
      <c r="MVC488" s="4"/>
      <c r="MVD488" s="4"/>
      <c r="MVE488" s="4"/>
      <c r="MVF488" s="4"/>
      <c r="MVG488" s="4"/>
      <c r="MVH488" s="4"/>
      <c r="MVI488" s="4"/>
      <c r="MVJ488" s="4"/>
      <c r="MVK488" s="4"/>
      <c r="MVL488" s="4"/>
      <c r="MVM488" s="4"/>
      <c r="MVN488" s="4"/>
      <c r="MVO488" s="4"/>
      <c r="MVP488" s="4"/>
      <c r="MVQ488" s="4"/>
      <c r="MVR488" s="4"/>
      <c r="MVS488" s="4"/>
      <c r="MVT488" s="4"/>
      <c r="MVU488" s="4"/>
      <c r="MVV488" s="4"/>
      <c r="MVW488" s="4"/>
      <c r="MVX488" s="4"/>
      <c r="MVY488" s="4"/>
      <c r="MVZ488" s="4"/>
      <c r="MWA488" s="4"/>
      <c r="MWB488" s="4"/>
      <c r="MWC488" s="4"/>
      <c r="MWD488" s="4"/>
      <c r="MWE488" s="4"/>
      <c r="MWF488" s="4"/>
      <c r="MWG488" s="4"/>
      <c r="MWH488" s="4"/>
      <c r="MWI488" s="4"/>
      <c r="MWJ488" s="4"/>
      <c r="MWK488" s="4"/>
      <c r="MWL488" s="4"/>
      <c r="MWM488" s="4"/>
      <c r="MWN488" s="4"/>
      <c r="MWO488" s="4"/>
      <c r="MWP488" s="4"/>
      <c r="MWQ488" s="4"/>
      <c r="MWR488" s="4"/>
      <c r="MWS488" s="4"/>
      <c r="MWT488" s="4"/>
      <c r="MWU488" s="4"/>
      <c r="MWV488" s="4"/>
      <c r="MWW488" s="4"/>
      <c r="MWX488" s="4"/>
      <c r="MWY488" s="4"/>
      <c r="MWZ488" s="4"/>
      <c r="MXA488" s="4"/>
      <c r="MXB488" s="4"/>
      <c r="MXC488" s="4"/>
      <c r="MXD488" s="4"/>
      <c r="MXE488" s="4"/>
      <c r="MXF488" s="4"/>
      <c r="MXG488" s="4"/>
      <c r="MXH488" s="4"/>
      <c r="MXI488" s="4"/>
      <c r="MXJ488" s="4"/>
      <c r="MXK488" s="4"/>
      <c r="MXL488" s="4"/>
      <c r="MXM488" s="4"/>
      <c r="MXN488" s="4"/>
      <c r="MXO488" s="4"/>
      <c r="MXP488" s="4"/>
      <c r="MXQ488" s="4"/>
      <c r="MXR488" s="4"/>
      <c r="MXS488" s="4"/>
      <c r="MXT488" s="4"/>
      <c r="MXU488" s="4"/>
      <c r="MXV488" s="4"/>
      <c r="MXW488" s="4"/>
      <c r="MXX488" s="4"/>
      <c r="MXY488" s="4"/>
      <c r="MXZ488" s="4"/>
      <c r="MYA488" s="4"/>
      <c r="MYB488" s="4"/>
      <c r="MYC488" s="4"/>
      <c r="MYD488" s="4"/>
      <c r="MYE488" s="4"/>
      <c r="MYF488" s="4"/>
      <c r="MYG488" s="4"/>
      <c r="MYH488" s="4"/>
      <c r="MYI488" s="4"/>
      <c r="MYJ488" s="4"/>
      <c r="MYK488" s="4"/>
      <c r="MYL488" s="4"/>
      <c r="MYM488" s="4"/>
      <c r="MYN488" s="4"/>
      <c r="MYO488" s="4"/>
      <c r="MYP488" s="4"/>
      <c r="MYQ488" s="4"/>
      <c r="MYR488" s="4"/>
      <c r="MYS488" s="4"/>
      <c r="MYT488" s="4"/>
      <c r="MYU488" s="4"/>
      <c r="MYV488" s="4"/>
      <c r="MYW488" s="4"/>
      <c r="MYX488" s="4"/>
      <c r="MYY488" s="4"/>
      <c r="MYZ488" s="4"/>
      <c r="MZA488" s="4"/>
      <c r="MZB488" s="4"/>
      <c r="MZC488" s="4"/>
      <c r="MZD488" s="4"/>
      <c r="MZE488" s="4"/>
      <c r="MZF488" s="4"/>
      <c r="MZG488" s="4"/>
      <c r="MZH488" s="4"/>
      <c r="MZI488" s="4"/>
      <c r="MZJ488" s="4"/>
      <c r="MZK488" s="4"/>
      <c r="MZL488" s="4"/>
      <c r="MZM488" s="4"/>
      <c r="MZN488" s="4"/>
      <c r="MZO488" s="4"/>
      <c r="MZP488" s="4"/>
      <c r="MZQ488" s="4"/>
      <c r="MZR488" s="4"/>
      <c r="MZS488" s="4"/>
      <c r="MZT488" s="4"/>
      <c r="MZU488" s="4"/>
      <c r="MZV488" s="4"/>
      <c r="MZW488" s="4"/>
      <c r="MZX488" s="4"/>
      <c r="MZY488" s="4"/>
      <c r="MZZ488" s="4"/>
      <c r="NAA488" s="4"/>
      <c r="NAB488" s="4"/>
      <c r="NAC488" s="4"/>
      <c r="NAD488" s="4"/>
      <c r="NAE488" s="4"/>
      <c r="NAF488" s="4"/>
      <c r="NAG488" s="4"/>
      <c r="NAH488" s="4"/>
      <c r="NAI488" s="4"/>
      <c r="NAJ488" s="4"/>
      <c r="NAK488" s="4"/>
      <c r="NAL488" s="4"/>
      <c r="NAM488" s="4"/>
      <c r="NAN488" s="4"/>
      <c r="NAO488" s="4"/>
      <c r="NAP488" s="4"/>
      <c r="NAQ488" s="4"/>
      <c r="NAR488" s="4"/>
      <c r="NAS488" s="4"/>
      <c r="NAT488" s="4"/>
      <c r="NAU488" s="4"/>
      <c r="NAV488" s="4"/>
      <c r="NAW488" s="4"/>
      <c r="NAX488" s="4"/>
      <c r="NAY488" s="4"/>
      <c r="NAZ488" s="4"/>
      <c r="NBA488" s="4"/>
      <c r="NBB488" s="4"/>
      <c r="NBC488" s="4"/>
      <c r="NBD488" s="4"/>
      <c r="NBE488" s="4"/>
      <c r="NBF488" s="4"/>
      <c r="NBG488" s="4"/>
      <c r="NBH488" s="4"/>
      <c r="NBI488" s="4"/>
      <c r="NBJ488" s="4"/>
      <c r="NBK488" s="4"/>
      <c r="NBL488" s="4"/>
      <c r="NBM488" s="4"/>
      <c r="NBN488" s="4"/>
      <c r="NBO488" s="4"/>
      <c r="NBP488" s="4"/>
      <c r="NBQ488" s="4"/>
      <c r="NBR488" s="4"/>
      <c r="NBS488" s="4"/>
      <c r="NBT488" s="4"/>
      <c r="NBU488" s="4"/>
      <c r="NBV488" s="4"/>
      <c r="NBW488" s="4"/>
      <c r="NBX488" s="4"/>
      <c r="NBY488" s="4"/>
      <c r="NBZ488" s="4"/>
      <c r="NCA488" s="4"/>
      <c r="NCB488" s="4"/>
      <c r="NCC488" s="4"/>
      <c r="NCD488" s="4"/>
      <c r="NCE488" s="4"/>
      <c r="NCF488" s="4"/>
      <c r="NCG488" s="4"/>
      <c r="NCH488" s="4"/>
      <c r="NCI488" s="4"/>
      <c r="NCJ488" s="4"/>
      <c r="NCK488" s="4"/>
      <c r="NCL488" s="4"/>
      <c r="NCM488" s="4"/>
      <c r="NCN488" s="4"/>
      <c r="NCO488" s="4"/>
      <c r="NCP488" s="4"/>
      <c r="NCQ488" s="4"/>
      <c r="NCR488" s="4"/>
      <c r="NCS488" s="4"/>
      <c r="NCT488" s="4"/>
      <c r="NCU488" s="4"/>
      <c r="NCV488" s="4"/>
      <c r="NCW488" s="4"/>
      <c r="NCX488" s="4"/>
      <c r="NCY488" s="4"/>
      <c r="NCZ488" s="4"/>
      <c r="NDA488" s="4"/>
      <c r="NDB488" s="4"/>
      <c r="NDC488" s="4"/>
      <c r="NDD488" s="4"/>
      <c r="NDE488" s="4"/>
      <c r="NDF488" s="4"/>
      <c r="NDG488" s="4"/>
      <c r="NDH488" s="4"/>
      <c r="NDI488" s="4"/>
      <c r="NDJ488" s="4"/>
      <c r="NDK488" s="4"/>
      <c r="NDL488" s="4"/>
      <c r="NDM488" s="4"/>
      <c r="NDN488" s="4"/>
      <c r="NDO488" s="4"/>
      <c r="NDP488" s="4"/>
      <c r="NDQ488" s="4"/>
      <c r="NDR488" s="4"/>
      <c r="NDS488" s="4"/>
      <c r="NDT488" s="4"/>
      <c r="NDU488" s="4"/>
      <c r="NDV488" s="4"/>
      <c r="NDW488" s="4"/>
      <c r="NDX488" s="4"/>
      <c r="NDY488" s="4"/>
      <c r="NDZ488" s="4"/>
      <c r="NEA488" s="4"/>
      <c r="NEB488" s="4"/>
      <c r="NEC488" s="4"/>
      <c r="NED488" s="4"/>
      <c r="NEE488" s="4"/>
      <c r="NEF488" s="4"/>
      <c r="NEG488" s="4"/>
      <c r="NEH488" s="4"/>
      <c r="NEI488" s="4"/>
      <c r="NEJ488" s="4"/>
      <c r="NEK488" s="4"/>
      <c r="NEL488" s="4"/>
      <c r="NEM488" s="4"/>
      <c r="NEN488" s="4"/>
      <c r="NEO488" s="4"/>
      <c r="NEP488" s="4"/>
      <c r="NEQ488" s="4"/>
      <c r="NER488" s="4"/>
      <c r="NES488" s="4"/>
      <c r="NET488" s="4"/>
      <c r="NEU488" s="4"/>
      <c r="NEV488" s="4"/>
      <c r="NEW488" s="4"/>
      <c r="NEX488" s="4"/>
      <c r="NEY488" s="4"/>
      <c r="NEZ488" s="4"/>
      <c r="NFA488" s="4"/>
      <c r="NFB488" s="4"/>
      <c r="NFC488" s="4"/>
      <c r="NFD488" s="4"/>
      <c r="NFE488" s="4"/>
      <c r="NFF488" s="4"/>
      <c r="NFG488" s="4"/>
      <c r="NFH488" s="4"/>
      <c r="NFI488" s="4"/>
      <c r="NFJ488" s="4"/>
      <c r="NFK488" s="4"/>
      <c r="NFL488" s="4"/>
      <c r="NFM488" s="4"/>
      <c r="NFN488" s="4"/>
      <c r="NFO488" s="4"/>
      <c r="NFP488" s="4"/>
      <c r="NFQ488" s="4"/>
      <c r="NFR488" s="4"/>
      <c r="NFS488" s="4"/>
      <c r="NFT488" s="4"/>
      <c r="NFU488" s="4"/>
      <c r="NFV488" s="4"/>
      <c r="NFW488" s="4"/>
      <c r="NFX488" s="4"/>
      <c r="NFY488" s="4"/>
      <c r="NFZ488" s="4"/>
      <c r="NGA488" s="4"/>
      <c r="NGB488" s="4"/>
      <c r="NGC488" s="4"/>
      <c r="NGD488" s="4"/>
      <c r="NGE488" s="4"/>
      <c r="NGF488" s="4"/>
      <c r="NGG488" s="4"/>
      <c r="NGH488" s="4"/>
      <c r="NGI488" s="4"/>
      <c r="NGJ488" s="4"/>
      <c r="NGK488" s="4"/>
      <c r="NGL488" s="4"/>
      <c r="NGM488" s="4"/>
      <c r="NGN488" s="4"/>
      <c r="NGO488" s="4"/>
      <c r="NGP488" s="4"/>
      <c r="NGQ488" s="4"/>
      <c r="NGR488" s="4"/>
      <c r="NGS488" s="4"/>
      <c r="NGT488" s="4"/>
      <c r="NGU488" s="4"/>
      <c r="NGV488" s="4"/>
      <c r="NGW488" s="4"/>
      <c r="NGX488" s="4"/>
      <c r="NGY488" s="4"/>
      <c r="NGZ488" s="4"/>
      <c r="NHA488" s="4"/>
      <c r="NHB488" s="4"/>
      <c r="NHC488" s="4"/>
      <c r="NHD488" s="4"/>
      <c r="NHE488" s="4"/>
      <c r="NHF488" s="4"/>
      <c r="NHG488" s="4"/>
      <c r="NHH488" s="4"/>
      <c r="NHI488" s="4"/>
      <c r="NHJ488" s="4"/>
      <c r="NHK488" s="4"/>
      <c r="NHL488" s="4"/>
      <c r="NHM488" s="4"/>
      <c r="NHN488" s="4"/>
      <c r="NHO488" s="4"/>
      <c r="NHP488" s="4"/>
      <c r="NHQ488" s="4"/>
      <c r="NHR488" s="4"/>
      <c r="NHS488" s="4"/>
      <c r="NHT488" s="4"/>
      <c r="NHU488" s="4"/>
      <c r="NHV488" s="4"/>
      <c r="NHW488" s="4"/>
      <c r="NHX488" s="4"/>
      <c r="NHY488" s="4"/>
      <c r="NHZ488" s="4"/>
      <c r="NIA488" s="4"/>
      <c r="NIB488" s="4"/>
      <c r="NIC488" s="4"/>
      <c r="NID488" s="4"/>
      <c r="NIE488" s="4"/>
      <c r="NIF488" s="4"/>
      <c r="NIG488" s="4"/>
      <c r="NIH488" s="4"/>
      <c r="NII488" s="4"/>
      <c r="NIJ488" s="4"/>
      <c r="NIK488" s="4"/>
      <c r="NIL488" s="4"/>
      <c r="NIM488" s="4"/>
      <c r="NIN488" s="4"/>
      <c r="NIO488" s="4"/>
      <c r="NIP488" s="4"/>
      <c r="NIQ488" s="4"/>
      <c r="NIR488" s="4"/>
      <c r="NIS488" s="4"/>
      <c r="NIT488" s="4"/>
      <c r="NIU488" s="4"/>
      <c r="NIV488" s="4"/>
      <c r="NIW488" s="4"/>
      <c r="NIX488" s="4"/>
      <c r="NIY488" s="4"/>
      <c r="NIZ488" s="4"/>
      <c r="NJA488" s="4"/>
      <c r="NJB488" s="4"/>
      <c r="NJC488" s="4"/>
      <c r="NJD488" s="4"/>
      <c r="NJE488" s="4"/>
      <c r="NJF488" s="4"/>
      <c r="NJG488" s="4"/>
      <c r="NJH488" s="4"/>
      <c r="NJI488" s="4"/>
      <c r="NJJ488" s="4"/>
      <c r="NJK488" s="4"/>
      <c r="NJL488" s="4"/>
      <c r="NJM488" s="4"/>
      <c r="NJN488" s="4"/>
      <c r="NJO488" s="4"/>
      <c r="NJP488" s="4"/>
      <c r="NJQ488" s="4"/>
      <c r="NJR488" s="4"/>
      <c r="NJS488" s="4"/>
      <c r="NJT488" s="4"/>
      <c r="NJU488" s="4"/>
      <c r="NJV488" s="4"/>
      <c r="NJW488" s="4"/>
      <c r="NJX488" s="4"/>
      <c r="NJY488" s="4"/>
      <c r="NJZ488" s="4"/>
      <c r="NKA488" s="4"/>
      <c r="NKB488" s="4"/>
      <c r="NKC488" s="4"/>
      <c r="NKD488" s="4"/>
      <c r="NKE488" s="4"/>
      <c r="NKF488" s="4"/>
      <c r="NKG488" s="4"/>
      <c r="NKH488" s="4"/>
      <c r="NKI488" s="4"/>
      <c r="NKJ488" s="4"/>
      <c r="NKK488" s="4"/>
      <c r="NKL488" s="4"/>
      <c r="NKM488" s="4"/>
      <c r="NKN488" s="4"/>
      <c r="NKO488" s="4"/>
      <c r="NKP488" s="4"/>
      <c r="NKQ488" s="4"/>
      <c r="NKR488" s="4"/>
      <c r="NKS488" s="4"/>
      <c r="NKT488" s="4"/>
      <c r="NKU488" s="4"/>
      <c r="NKV488" s="4"/>
      <c r="NKW488" s="4"/>
      <c r="NKX488" s="4"/>
      <c r="NKY488" s="4"/>
      <c r="NKZ488" s="4"/>
      <c r="NLA488" s="4"/>
      <c r="NLB488" s="4"/>
      <c r="NLC488" s="4"/>
      <c r="NLD488" s="4"/>
      <c r="NLE488" s="4"/>
      <c r="NLF488" s="4"/>
      <c r="NLG488" s="4"/>
      <c r="NLH488" s="4"/>
      <c r="NLI488" s="4"/>
      <c r="NLJ488" s="4"/>
      <c r="NLK488" s="4"/>
      <c r="NLL488" s="4"/>
      <c r="NLM488" s="4"/>
      <c r="NLN488" s="4"/>
      <c r="NLO488" s="4"/>
      <c r="NLP488" s="4"/>
      <c r="NLQ488" s="4"/>
      <c r="NLR488" s="4"/>
      <c r="NLS488" s="4"/>
      <c r="NLT488" s="4"/>
      <c r="NLU488" s="4"/>
      <c r="NLV488" s="4"/>
      <c r="NLW488" s="4"/>
      <c r="NLX488" s="4"/>
      <c r="NLY488" s="4"/>
      <c r="NLZ488" s="4"/>
      <c r="NMA488" s="4"/>
      <c r="NMB488" s="4"/>
      <c r="NMC488" s="4"/>
      <c r="NMD488" s="4"/>
      <c r="NME488" s="4"/>
      <c r="NMF488" s="4"/>
      <c r="NMG488" s="4"/>
      <c r="NMH488" s="4"/>
      <c r="NMI488" s="4"/>
      <c r="NMJ488" s="4"/>
      <c r="NMK488" s="4"/>
      <c r="NML488" s="4"/>
      <c r="NMM488" s="4"/>
      <c r="NMN488" s="4"/>
      <c r="NMO488" s="4"/>
      <c r="NMP488" s="4"/>
      <c r="NMQ488" s="4"/>
      <c r="NMR488" s="4"/>
      <c r="NMS488" s="4"/>
      <c r="NMT488" s="4"/>
      <c r="NMU488" s="4"/>
      <c r="NMV488" s="4"/>
      <c r="NMW488" s="4"/>
      <c r="NMX488" s="4"/>
      <c r="NMY488" s="4"/>
      <c r="NMZ488" s="4"/>
      <c r="NNA488" s="4"/>
      <c r="NNB488" s="4"/>
      <c r="NNC488" s="4"/>
      <c r="NND488" s="4"/>
      <c r="NNE488" s="4"/>
      <c r="NNF488" s="4"/>
      <c r="NNG488" s="4"/>
      <c r="NNH488" s="4"/>
      <c r="NNI488" s="4"/>
      <c r="NNJ488" s="4"/>
      <c r="NNK488" s="4"/>
      <c r="NNL488" s="4"/>
      <c r="NNM488" s="4"/>
      <c r="NNN488" s="4"/>
      <c r="NNO488" s="4"/>
      <c r="NNP488" s="4"/>
      <c r="NNQ488" s="4"/>
      <c r="NNR488" s="4"/>
      <c r="NNS488" s="4"/>
      <c r="NNT488" s="4"/>
      <c r="NNU488" s="4"/>
      <c r="NNV488" s="4"/>
      <c r="NNW488" s="4"/>
      <c r="NNX488" s="4"/>
      <c r="NNY488" s="4"/>
      <c r="NNZ488" s="4"/>
      <c r="NOA488" s="4"/>
      <c r="NOB488" s="4"/>
      <c r="NOC488" s="4"/>
      <c r="NOD488" s="4"/>
      <c r="NOE488" s="4"/>
      <c r="NOF488" s="4"/>
      <c r="NOG488" s="4"/>
      <c r="NOH488" s="4"/>
      <c r="NOI488" s="4"/>
      <c r="NOJ488" s="4"/>
      <c r="NOK488" s="4"/>
      <c r="NOL488" s="4"/>
      <c r="NOM488" s="4"/>
      <c r="NON488" s="4"/>
      <c r="NOO488" s="4"/>
      <c r="NOP488" s="4"/>
      <c r="NOQ488" s="4"/>
      <c r="NOR488" s="4"/>
      <c r="NOS488" s="4"/>
      <c r="NOT488" s="4"/>
      <c r="NOU488" s="4"/>
      <c r="NOV488" s="4"/>
      <c r="NOW488" s="4"/>
      <c r="NOX488" s="4"/>
      <c r="NOY488" s="4"/>
      <c r="NOZ488" s="4"/>
      <c r="NPA488" s="4"/>
      <c r="NPB488" s="4"/>
      <c r="NPC488" s="4"/>
      <c r="NPD488" s="4"/>
      <c r="NPE488" s="4"/>
      <c r="NPF488" s="4"/>
      <c r="NPG488" s="4"/>
      <c r="NPH488" s="4"/>
      <c r="NPI488" s="4"/>
      <c r="NPJ488" s="4"/>
      <c r="NPK488" s="4"/>
      <c r="NPL488" s="4"/>
      <c r="NPM488" s="4"/>
      <c r="NPN488" s="4"/>
      <c r="NPO488" s="4"/>
      <c r="NPP488" s="4"/>
      <c r="NPQ488" s="4"/>
      <c r="NPR488" s="4"/>
      <c r="NPS488" s="4"/>
      <c r="NPT488" s="4"/>
      <c r="NPU488" s="4"/>
      <c r="NPV488" s="4"/>
      <c r="NPW488" s="4"/>
      <c r="NPX488" s="4"/>
      <c r="NPY488" s="4"/>
      <c r="NPZ488" s="4"/>
      <c r="NQA488" s="4"/>
      <c r="NQB488" s="4"/>
      <c r="NQC488" s="4"/>
      <c r="NQD488" s="4"/>
      <c r="NQE488" s="4"/>
      <c r="NQF488" s="4"/>
      <c r="NQG488" s="4"/>
      <c r="NQH488" s="4"/>
      <c r="NQI488" s="4"/>
      <c r="NQJ488" s="4"/>
      <c r="NQK488" s="4"/>
      <c r="NQL488" s="4"/>
      <c r="NQM488" s="4"/>
      <c r="NQN488" s="4"/>
      <c r="NQO488" s="4"/>
      <c r="NQP488" s="4"/>
      <c r="NQQ488" s="4"/>
      <c r="NQR488" s="4"/>
      <c r="NQS488" s="4"/>
      <c r="NQT488" s="4"/>
      <c r="NQU488" s="4"/>
      <c r="NQV488" s="4"/>
      <c r="NQW488" s="4"/>
      <c r="NQX488" s="4"/>
      <c r="NQY488" s="4"/>
      <c r="NQZ488" s="4"/>
      <c r="NRA488" s="4"/>
      <c r="NRB488" s="4"/>
      <c r="NRC488" s="4"/>
      <c r="NRD488" s="4"/>
      <c r="NRE488" s="4"/>
      <c r="NRF488" s="4"/>
      <c r="NRG488" s="4"/>
      <c r="NRH488" s="4"/>
      <c r="NRI488" s="4"/>
      <c r="NRJ488" s="4"/>
      <c r="NRK488" s="4"/>
      <c r="NRL488" s="4"/>
      <c r="NRM488" s="4"/>
      <c r="NRN488" s="4"/>
      <c r="NRO488" s="4"/>
      <c r="NRP488" s="4"/>
      <c r="NRQ488" s="4"/>
      <c r="NRR488" s="4"/>
      <c r="NRS488" s="4"/>
      <c r="NRT488" s="4"/>
      <c r="NRU488" s="4"/>
      <c r="NRV488" s="4"/>
      <c r="NRW488" s="4"/>
      <c r="NRX488" s="4"/>
      <c r="NRY488" s="4"/>
      <c r="NRZ488" s="4"/>
      <c r="NSA488" s="4"/>
      <c r="NSB488" s="4"/>
      <c r="NSC488" s="4"/>
      <c r="NSD488" s="4"/>
      <c r="NSE488" s="4"/>
      <c r="NSF488" s="4"/>
      <c r="NSG488" s="4"/>
      <c r="NSH488" s="4"/>
      <c r="NSI488" s="4"/>
      <c r="NSJ488" s="4"/>
      <c r="NSK488" s="4"/>
      <c r="NSL488" s="4"/>
      <c r="NSM488" s="4"/>
      <c r="NSN488" s="4"/>
      <c r="NSO488" s="4"/>
      <c r="NSP488" s="4"/>
      <c r="NSQ488" s="4"/>
      <c r="NSR488" s="4"/>
      <c r="NSS488" s="4"/>
      <c r="NST488" s="4"/>
      <c r="NSU488" s="4"/>
      <c r="NSV488" s="4"/>
      <c r="NSW488" s="4"/>
      <c r="NSX488" s="4"/>
      <c r="NSY488" s="4"/>
      <c r="NSZ488" s="4"/>
      <c r="NTA488" s="4"/>
      <c r="NTB488" s="4"/>
      <c r="NTC488" s="4"/>
      <c r="NTD488" s="4"/>
      <c r="NTE488" s="4"/>
      <c r="NTF488" s="4"/>
      <c r="NTG488" s="4"/>
      <c r="NTH488" s="4"/>
      <c r="NTI488" s="4"/>
      <c r="NTJ488" s="4"/>
      <c r="NTK488" s="4"/>
      <c r="NTL488" s="4"/>
      <c r="NTM488" s="4"/>
      <c r="NTN488" s="4"/>
      <c r="NTO488" s="4"/>
      <c r="NTP488" s="4"/>
      <c r="NTQ488" s="4"/>
      <c r="NTR488" s="4"/>
      <c r="NTS488" s="4"/>
      <c r="NTT488" s="4"/>
      <c r="NTU488" s="4"/>
      <c r="NTV488" s="4"/>
      <c r="NTW488" s="4"/>
      <c r="NTX488" s="4"/>
      <c r="NTY488" s="4"/>
      <c r="NTZ488" s="4"/>
      <c r="NUA488" s="4"/>
      <c r="NUB488" s="4"/>
      <c r="NUC488" s="4"/>
      <c r="NUD488" s="4"/>
      <c r="NUE488" s="4"/>
      <c r="NUF488" s="4"/>
      <c r="NUG488" s="4"/>
      <c r="NUH488" s="4"/>
      <c r="NUI488" s="4"/>
      <c r="NUJ488" s="4"/>
      <c r="NUK488" s="4"/>
      <c r="NUL488" s="4"/>
      <c r="NUM488" s="4"/>
      <c r="NUN488" s="4"/>
      <c r="NUO488" s="4"/>
      <c r="NUP488" s="4"/>
      <c r="NUQ488" s="4"/>
      <c r="NUR488" s="4"/>
      <c r="NUS488" s="4"/>
      <c r="NUT488" s="4"/>
      <c r="NUU488" s="4"/>
      <c r="NUV488" s="4"/>
      <c r="NUW488" s="4"/>
      <c r="NUX488" s="4"/>
      <c r="NUY488" s="4"/>
      <c r="NUZ488" s="4"/>
      <c r="NVA488" s="4"/>
      <c r="NVB488" s="4"/>
      <c r="NVC488" s="4"/>
      <c r="NVD488" s="4"/>
      <c r="NVE488" s="4"/>
      <c r="NVF488" s="4"/>
      <c r="NVG488" s="4"/>
      <c r="NVH488" s="4"/>
      <c r="NVI488" s="4"/>
      <c r="NVJ488" s="4"/>
      <c r="NVK488" s="4"/>
      <c r="NVL488" s="4"/>
      <c r="NVM488" s="4"/>
      <c r="NVN488" s="4"/>
      <c r="NVO488" s="4"/>
      <c r="NVP488" s="4"/>
      <c r="NVQ488" s="4"/>
      <c r="NVR488" s="4"/>
      <c r="NVS488" s="4"/>
      <c r="NVT488" s="4"/>
      <c r="NVU488" s="4"/>
      <c r="NVV488" s="4"/>
      <c r="NVW488" s="4"/>
      <c r="NVX488" s="4"/>
      <c r="NVY488" s="4"/>
      <c r="NVZ488" s="4"/>
      <c r="NWA488" s="4"/>
      <c r="NWB488" s="4"/>
      <c r="NWC488" s="4"/>
      <c r="NWD488" s="4"/>
      <c r="NWE488" s="4"/>
      <c r="NWF488" s="4"/>
      <c r="NWG488" s="4"/>
      <c r="NWH488" s="4"/>
      <c r="NWI488" s="4"/>
      <c r="NWJ488" s="4"/>
      <c r="NWK488" s="4"/>
      <c r="NWL488" s="4"/>
      <c r="NWM488" s="4"/>
      <c r="NWN488" s="4"/>
      <c r="NWO488" s="4"/>
      <c r="NWP488" s="4"/>
      <c r="NWQ488" s="4"/>
      <c r="NWR488" s="4"/>
      <c r="NWS488" s="4"/>
      <c r="NWT488" s="4"/>
      <c r="NWU488" s="4"/>
      <c r="NWV488" s="4"/>
      <c r="NWW488" s="4"/>
      <c r="NWX488" s="4"/>
      <c r="NWY488" s="4"/>
      <c r="NWZ488" s="4"/>
      <c r="NXA488" s="4"/>
      <c r="NXB488" s="4"/>
      <c r="NXC488" s="4"/>
      <c r="NXD488" s="4"/>
      <c r="NXE488" s="4"/>
      <c r="NXF488" s="4"/>
      <c r="NXG488" s="4"/>
      <c r="NXH488" s="4"/>
      <c r="NXI488" s="4"/>
      <c r="NXJ488" s="4"/>
      <c r="NXK488" s="4"/>
      <c r="NXL488" s="4"/>
      <c r="NXM488" s="4"/>
      <c r="NXN488" s="4"/>
      <c r="NXO488" s="4"/>
      <c r="NXP488" s="4"/>
      <c r="NXQ488" s="4"/>
      <c r="NXR488" s="4"/>
      <c r="NXS488" s="4"/>
      <c r="NXT488" s="4"/>
      <c r="NXU488" s="4"/>
      <c r="NXV488" s="4"/>
      <c r="NXW488" s="4"/>
      <c r="NXX488" s="4"/>
      <c r="NXY488" s="4"/>
      <c r="NXZ488" s="4"/>
      <c r="NYA488" s="4"/>
      <c r="NYB488" s="4"/>
      <c r="NYC488" s="4"/>
      <c r="NYD488" s="4"/>
      <c r="NYE488" s="4"/>
      <c r="NYF488" s="4"/>
      <c r="NYG488" s="4"/>
      <c r="NYH488" s="4"/>
      <c r="NYI488" s="4"/>
      <c r="NYJ488" s="4"/>
      <c r="NYK488" s="4"/>
      <c r="NYL488" s="4"/>
      <c r="NYM488" s="4"/>
      <c r="NYN488" s="4"/>
      <c r="NYO488" s="4"/>
      <c r="NYP488" s="4"/>
      <c r="NYQ488" s="4"/>
      <c r="NYR488" s="4"/>
      <c r="NYS488" s="4"/>
      <c r="NYT488" s="4"/>
      <c r="NYU488" s="4"/>
      <c r="NYV488" s="4"/>
      <c r="NYW488" s="4"/>
      <c r="NYX488" s="4"/>
      <c r="NYY488" s="4"/>
      <c r="NYZ488" s="4"/>
      <c r="NZA488" s="4"/>
      <c r="NZB488" s="4"/>
      <c r="NZC488" s="4"/>
      <c r="NZD488" s="4"/>
      <c r="NZE488" s="4"/>
      <c r="NZF488" s="4"/>
      <c r="NZG488" s="4"/>
      <c r="NZH488" s="4"/>
      <c r="NZI488" s="4"/>
      <c r="NZJ488" s="4"/>
      <c r="NZK488" s="4"/>
      <c r="NZL488" s="4"/>
      <c r="NZM488" s="4"/>
      <c r="NZN488" s="4"/>
      <c r="NZO488" s="4"/>
      <c r="NZP488" s="4"/>
      <c r="NZQ488" s="4"/>
      <c r="NZR488" s="4"/>
      <c r="NZS488" s="4"/>
      <c r="NZT488" s="4"/>
      <c r="NZU488" s="4"/>
      <c r="NZV488" s="4"/>
      <c r="NZW488" s="4"/>
      <c r="NZX488" s="4"/>
      <c r="NZY488" s="4"/>
      <c r="NZZ488" s="4"/>
      <c r="OAA488" s="4"/>
      <c r="OAB488" s="4"/>
      <c r="OAC488" s="4"/>
      <c r="OAD488" s="4"/>
      <c r="OAE488" s="4"/>
      <c r="OAF488" s="4"/>
      <c r="OAG488" s="4"/>
      <c r="OAH488" s="4"/>
      <c r="OAI488" s="4"/>
      <c r="OAJ488" s="4"/>
      <c r="OAK488" s="4"/>
      <c r="OAL488" s="4"/>
      <c r="OAM488" s="4"/>
      <c r="OAN488" s="4"/>
      <c r="OAO488" s="4"/>
      <c r="OAP488" s="4"/>
      <c r="OAQ488" s="4"/>
      <c r="OAR488" s="4"/>
      <c r="OAS488" s="4"/>
      <c r="OAT488" s="4"/>
      <c r="OAU488" s="4"/>
      <c r="OAV488" s="4"/>
      <c r="OAW488" s="4"/>
      <c r="OAX488" s="4"/>
      <c r="OAY488" s="4"/>
      <c r="OAZ488" s="4"/>
      <c r="OBA488" s="4"/>
      <c r="OBB488" s="4"/>
      <c r="OBC488" s="4"/>
      <c r="OBD488" s="4"/>
      <c r="OBE488" s="4"/>
      <c r="OBF488" s="4"/>
      <c r="OBG488" s="4"/>
      <c r="OBH488" s="4"/>
      <c r="OBI488" s="4"/>
      <c r="OBJ488" s="4"/>
      <c r="OBK488" s="4"/>
      <c r="OBL488" s="4"/>
      <c r="OBM488" s="4"/>
      <c r="OBN488" s="4"/>
      <c r="OBO488" s="4"/>
      <c r="OBP488" s="4"/>
      <c r="OBQ488" s="4"/>
      <c r="OBR488" s="4"/>
      <c r="OBS488" s="4"/>
      <c r="OBT488" s="4"/>
      <c r="OBU488" s="4"/>
      <c r="OBV488" s="4"/>
      <c r="OBW488" s="4"/>
      <c r="OBX488" s="4"/>
      <c r="OBY488" s="4"/>
      <c r="OBZ488" s="4"/>
      <c r="OCA488" s="4"/>
      <c r="OCB488" s="4"/>
      <c r="OCC488" s="4"/>
      <c r="OCD488" s="4"/>
      <c r="OCE488" s="4"/>
      <c r="OCF488" s="4"/>
      <c r="OCG488" s="4"/>
      <c r="OCH488" s="4"/>
      <c r="OCI488" s="4"/>
      <c r="OCJ488" s="4"/>
      <c r="OCK488" s="4"/>
      <c r="OCL488" s="4"/>
      <c r="OCM488" s="4"/>
      <c r="OCN488" s="4"/>
      <c r="OCO488" s="4"/>
      <c r="OCP488" s="4"/>
      <c r="OCQ488" s="4"/>
      <c r="OCR488" s="4"/>
      <c r="OCS488" s="4"/>
      <c r="OCT488" s="4"/>
      <c r="OCU488" s="4"/>
      <c r="OCV488" s="4"/>
      <c r="OCW488" s="4"/>
      <c r="OCX488" s="4"/>
      <c r="OCY488" s="4"/>
      <c r="OCZ488" s="4"/>
      <c r="ODA488" s="4"/>
      <c r="ODB488" s="4"/>
      <c r="ODC488" s="4"/>
      <c r="ODD488" s="4"/>
      <c r="ODE488" s="4"/>
      <c r="ODF488" s="4"/>
      <c r="ODG488" s="4"/>
      <c r="ODH488" s="4"/>
      <c r="ODI488" s="4"/>
      <c r="ODJ488" s="4"/>
      <c r="ODK488" s="4"/>
      <c r="ODL488" s="4"/>
      <c r="ODM488" s="4"/>
      <c r="ODN488" s="4"/>
      <c r="ODO488" s="4"/>
      <c r="ODP488" s="4"/>
      <c r="ODQ488" s="4"/>
      <c r="ODR488" s="4"/>
      <c r="ODS488" s="4"/>
      <c r="ODT488" s="4"/>
      <c r="ODU488" s="4"/>
      <c r="ODV488" s="4"/>
      <c r="ODW488" s="4"/>
      <c r="ODX488" s="4"/>
      <c r="ODY488" s="4"/>
      <c r="ODZ488" s="4"/>
      <c r="OEA488" s="4"/>
      <c r="OEB488" s="4"/>
      <c r="OEC488" s="4"/>
      <c r="OED488" s="4"/>
      <c r="OEE488" s="4"/>
      <c r="OEF488" s="4"/>
      <c r="OEG488" s="4"/>
      <c r="OEH488" s="4"/>
      <c r="OEI488" s="4"/>
      <c r="OEJ488" s="4"/>
      <c r="OEK488" s="4"/>
      <c r="OEL488" s="4"/>
      <c r="OEM488" s="4"/>
      <c r="OEN488" s="4"/>
      <c r="OEO488" s="4"/>
      <c r="OEP488" s="4"/>
      <c r="OEQ488" s="4"/>
      <c r="OER488" s="4"/>
      <c r="OES488" s="4"/>
      <c r="OET488" s="4"/>
      <c r="OEU488" s="4"/>
      <c r="OEV488" s="4"/>
      <c r="OEW488" s="4"/>
      <c r="OEX488" s="4"/>
      <c r="OEY488" s="4"/>
      <c r="OEZ488" s="4"/>
      <c r="OFA488" s="4"/>
      <c r="OFB488" s="4"/>
      <c r="OFC488" s="4"/>
      <c r="OFD488" s="4"/>
      <c r="OFE488" s="4"/>
      <c r="OFF488" s="4"/>
      <c r="OFG488" s="4"/>
      <c r="OFH488" s="4"/>
      <c r="OFI488" s="4"/>
      <c r="OFJ488" s="4"/>
      <c r="OFK488" s="4"/>
      <c r="OFL488" s="4"/>
      <c r="OFM488" s="4"/>
      <c r="OFN488" s="4"/>
      <c r="OFO488" s="4"/>
      <c r="OFP488" s="4"/>
      <c r="OFQ488" s="4"/>
      <c r="OFR488" s="4"/>
      <c r="OFS488" s="4"/>
      <c r="OFT488" s="4"/>
      <c r="OFU488" s="4"/>
      <c r="OFV488" s="4"/>
      <c r="OFW488" s="4"/>
      <c r="OFX488" s="4"/>
      <c r="OFY488" s="4"/>
      <c r="OFZ488" s="4"/>
      <c r="OGA488" s="4"/>
      <c r="OGB488" s="4"/>
      <c r="OGC488" s="4"/>
      <c r="OGD488" s="4"/>
      <c r="OGE488" s="4"/>
      <c r="OGF488" s="4"/>
      <c r="OGG488" s="4"/>
      <c r="OGH488" s="4"/>
      <c r="OGI488" s="4"/>
      <c r="OGJ488" s="4"/>
      <c r="OGK488" s="4"/>
      <c r="OGL488" s="4"/>
      <c r="OGM488" s="4"/>
      <c r="OGN488" s="4"/>
      <c r="OGO488" s="4"/>
      <c r="OGP488" s="4"/>
      <c r="OGQ488" s="4"/>
      <c r="OGR488" s="4"/>
      <c r="OGS488" s="4"/>
      <c r="OGT488" s="4"/>
      <c r="OGU488" s="4"/>
      <c r="OGV488" s="4"/>
      <c r="OGW488" s="4"/>
      <c r="OGX488" s="4"/>
      <c r="OGY488" s="4"/>
      <c r="OGZ488" s="4"/>
      <c r="OHA488" s="4"/>
      <c r="OHB488" s="4"/>
      <c r="OHC488" s="4"/>
      <c r="OHD488" s="4"/>
      <c r="OHE488" s="4"/>
      <c r="OHF488" s="4"/>
      <c r="OHG488" s="4"/>
      <c r="OHH488" s="4"/>
      <c r="OHI488" s="4"/>
      <c r="OHJ488" s="4"/>
      <c r="OHK488" s="4"/>
      <c r="OHL488" s="4"/>
      <c r="OHM488" s="4"/>
      <c r="OHN488" s="4"/>
      <c r="OHO488" s="4"/>
      <c r="OHP488" s="4"/>
      <c r="OHQ488" s="4"/>
      <c r="OHR488" s="4"/>
      <c r="OHS488" s="4"/>
      <c r="OHT488" s="4"/>
      <c r="OHU488" s="4"/>
      <c r="OHV488" s="4"/>
      <c r="OHW488" s="4"/>
      <c r="OHX488" s="4"/>
      <c r="OHY488" s="4"/>
      <c r="OHZ488" s="4"/>
      <c r="OIA488" s="4"/>
      <c r="OIB488" s="4"/>
      <c r="OIC488" s="4"/>
      <c r="OID488" s="4"/>
      <c r="OIE488" s="4"/>
      <c r="OIF488" s="4"/>
      <c r="OIG488" s="4"/>
      <c r="OIH488" s="4"/>
      <c r="OII488" s="4"/>
      <c r="OIJ488" s="4"/>
      <c r="OIK488" s="4"/>
      <c r="OIL488" s="4"/>
      <c r="OIM488" s="4"/>
      <c r="OIN488" s="4"/>
      <c r="OIO488" s="4"/>
      <c r="OIP488" s="4"/>
      <c r="OIQ488" s="4"/>
      <c r="OIR488" s="4"/>
      <c r="OIS488" s="4"/>
      <c r="OIT488" s="4"/>
      <c r="OIU488" s="4"/>
      <c r="OIV488" s="4"/>
      <c r="OIW488" s="4"/>
      <c r="OIX488" s="4"/>
      <c r="OIY488" s="4"/>
      <c r="OIZ488" s="4"/>
      <c r="OJA488" s="4"/>
      <c r="OJB488" s="4"/>
      <c r="OJC488" s="4"/>
      <c r="OJD488" s="4"/>
      <c r="OJE488" s="4"/>
      <c r="OJF488" s="4"/>
      <c r="OJG488" s="4"/>
      <c r="OJH488" s="4"/>
      <c r="OJI488" s="4"/>
      <c r="OJJ488" s="4"/>
      <c r="OJK488" s="4"/>
      <c r="OJL488" s="4"/>
      <c r="OJM488" s="4"/>
      <c r="OJN488" s="4"/>
      <c r="OJO488" s="4"/>
      <c r="OJP488" s="4"/>
      <c r="OJQ488" s="4"/>
      <c r="OJR488" s="4"/>
      <c r="OJS488" s="4"/>
      <c r="OJT488" s="4"/>
      <c r="OJU488" s="4"/>
      <c r="OJV488" s="4"/>
      <c r="OJW488" s="4"/>
      <c r="OJX488" s="4"/>
      <c r="OJY488" s="4"/>
      <c r="OJZ488" s="4"/>
      <c r="OKA488" s="4"/>
      <c r="OKB488" s="4"/>
      <c r="OKC488" s="4"/>
      <c r="OKD488" s="4"/>
      <c r="OKE488" s="4"/>
      <c r="OKF488" s="4"/>
      <c r="OKG488" s="4"/>
      <c r="OKH488" s="4"/>
      <c r="OKI488" s="4"/>
      <c r="OKJ488" s="4"/>
      <c r="OKK488" s="4"/>
      <c r="OKL488" s="4"/>
      <c r="OKM488" s="4"/>
      <c r="OKN488" s="4"/>
      <c r="OKO488" s="4"/>
      <c r="OKP488" s="4"/>
      <c r="OKQ488" s="4"/>
      <c r="OKR488" s="4"/>
      <c r="OKS488" s="4"/>
      <c r="OKT488" s="4"/>
      <c r="OKU488" s="4"/>
      <c r="OKV488" s="4"/>
      <c r="OKW488" s="4"/>
      <c r="OKX488" s="4"/>
      <c r="OKY488" s="4"/>
      <c r="OKZ488" s="4"/>
      <c r="OLA488" s="4"/>
      <c r="OLB488" s="4"/>
      <c r="OLC488" s="4"/>
      <c r="OLD488" s="4"/>
      <c r="OLE488" s="4"/>
      <c r="OLF488" s="4"/>
      <c r="OLG488" s="4"/>
      <c r="OLH488" s="4"/>
      <c r="OLI488" s="4"/>
      <c r="OLJ488" s="4"/>
      <c r="OLK488" s="4"/>
      <c r="OLL488" s="4"/>
      <c r="OLM488" s="4"/>
      <c r="OLN488" s="4"/>
      <c r="OLO488" s="4"/>
      <c r="OLP488" s="4"/>
      <c r="OLQ488" s="4"/>
      <c r="OLR488" s="4"/>
      <c r="OLS488" s="4"/>
      <c r="OLT488" s="4"/>
      <c r="OLU488" s="4"/>
      <c r="OLV488" s="4"/>
      <c r="OLW488" s="4"/>
      <c r="OLX488" s="4"/>
      <c r="OLY488" s="4"/>
      <c r="OLZ488" s="4"/>
      <c r="OMA488" s="4"/>
      <c r="OMB488" s="4"/>
      <c r="OMC488" s="4"/>
      <c r="OMD488" s="4"/>
      <c r="OME488" s="4"/>
      <c r="OMF488" s="4"/>
      <c r="OMG488" s="4"/>
      <c r="OMH488" s="4"/>
      <c r="OMI488" s="4"/>
      <c r="OMJ488" s="4"/>
      <c r="OMK488" s="4"/>
      <c r="OML488" s="4"/>
      <c r="OMM488" s="4"/>
      <c r="OMN488" s="4"/>
      <c r="OMO488" s="4"/>
      <c r="OMP488" s="4"/>
      <c r="OMQ488" s="4"/>
      <c r="OMR488" s="4"/>
      <c r="OMS488" s="4"/>
      <c r="OMT488" s="4"/>
      <c r="OMU488" s="4"/>
      <c r="OMV488" s="4"/>
      <c r="OMW488" s="4"/>
      <c r="OMX488" s="4"/>
      <c r="OMY488" s="4"/>
      <c r="OMZ488" s="4"/>
      <c r="ONA488" s="4"/>
      <c r="ONB488" s="4"/>
      <c r="ONC488" s="4"/>
      <c r="OND488" s="4"/>
      <c r="ONE488" s="4"/>
      <c r="ONF488" s="4"/>
      <c r="ONG488" s="4"/>
      <c r="ONH488" s="4"/>
      <c r="ONI488" s="4"/>
      <c r="ONJ488" s="4"/>
      <c r="ONK488" s="4"/>
      <c r="ONL488" s="4"/>
      <c r="ONM488" s="4"/>
      <c r="ONN488" s="4"/>
      <c r="ONO488" s="4"/>
      <c r="ONP488" s="4"/>
      <c r="ONQ488" s="4"/>
      <c r="ONR488" s="4"/>
      <c r="ONS488" s="4"/>
      <c r="ONT488" s="4"/>
      <c r="ONU488" s="4"/>
      <c r="ONV488" s="4"/>
      <c r="ONW488" s="4"/>
      <c r="ONX488" s="4"/>
      <c r="ONY488" s="4"/>
      <c r="ONZ488" s="4"/>
      <c r="OOA488" s="4"/>
      <c r="OOB488" s="4"/>
      <c r="OOC488" s="4"/>
      <c r="OOD488" s="4"/>
      <c r="OOE488" s="4"/>
      <c r="OOF488" s="4"/>
      <c r="OOG488" s="4"/>
      <c r="OOH488" s="4"/>
      <c r="OOI488" s="4"/>
      <c r="OOJ488" s="4"/>
      <c r="OOK488" s="4"/>
      <c r="OOL488" s="4"/>
      <c r="OOM488" s="4"/>
      <c r="OON488" s="4"/>
      <c r="OOO488" s="4"/>
      <c r="OOP488" s="4"/>
      <c r="OOQ488" s="4"/>
      <c r="OOR488" s="4"/>
      <c r="OOS488" s="4"/>
      <c r="OOT488" s="4"/>
      <c r="OOU488" s="4"/>
      <c r="OOV488" s="4"/>
      <c r="OOW488" s="4"/>
      <c r="OOX488" s="4"/>
      <c r="OOY488" s="4"/>
      <c r="OOZ488" s="4"/>
      <c r="OPA488" s="4"/>
      <c r="OPB488" s="4"/>
      <c r="OPC488" s="4"/>
      <c r="OPD488" s="4"/>
      <c r="OPE488" s="4"/>
      <c r="OPF488" s="4"/>
      <c r="OPG488" s="4"/>
      <c r="OPH488" s="4"/>
      <c r="OPI488" s="4"/>
      <c r="OPJ488" s="4"/>
      <c r="OPK488" s="4"/>
      <c r="OPL488" s="4"/>
      <c r="OPM488" s="4"/>
      <c r="OPN488" s="4"/>
      <c r="OPO488" s="4"/>
      <c r="OPP488" s="4"/>
      <c r="OPQ488" s="4"/>
      <c r="OPR488" s="4"/>
      <c r="OPS488" s="4"/>
      <c r="OPT488" s="4"/>
      <c r="OPU488" s="4"/>
      <c r="OPV488" s="4"/>
      <c r="OPW488" s="4"/>
      <c r="OPX488" s="4"/>
      <c r="OPY488" s="4"/>
      <c r="OPZ488" s="4"/>
      <c r="OQA488" s="4"/>
      <c r="OQB488" s="4"/>
      <c r="OQC488" s="4"/>
      <c r="OQD488" s="4"/>
      <c r="OQE488" s="4"/>
      <c r="OQF488" s="4"/>
      <c r="OQG488" s="4"/>
      <c r="OQH488" s="4"/>
      <c r="OQI488" s="4"/>
      <c r="OQJ488" s="4"/>
      <c r="OQK488" s="4"/>
      <c r="OQL488" s="4"/>
      <c r="OQM488" s="4"/>
      <c r="OQN488" s="4"/>
      <c r="OQO488" s="4"/>
      <c r="OQP488" s="4"/>
      <c r="OQQ488" s="4"/>
      <c r="OQR488" s="4"/>
      <c r="OQS488" s="4"/>
      <c r="OQT488" s="4"/>
      <c r="OQU488" s="4"/>
      <c r="OQV488" s="4"/>
      <c r="OQW488" s="4"/>
      <c r="OQX488" s="4"/>
      <c r="OQY488" s="4"/>
      <c r="OQZ488" s="4"/>
      <c r="ORA488" s="4"/>
      <c r="ORB488" s="4"/>
      <c r="ORC488" s="4"/>
      <c r="ORD488" s="4"/>
      <c r="ORE488" s="4"/>
      <c r="ORF488" s="4"/>
      <c r="ORG488" s="4"/>
      <c r="ORH488" s="4"/>
      <c r="ORI488" s="4"/>
      <c r="ORJ488" s="4"/>
      <c r="ORK488" s="4"/>
      <c r="ORL488" s="4"/>
      <c r="ORM488" s="4"/>
      <c r="ORN488" s="4"/>
      <c r="ORO488" s="4"/>
      <c r="ORP488" s="4"/>
      <c r="ORQ488" s="4"/>
      <c r="ORR488" s="4"/>
      <c r="ORS488" s="4"/>
      <c r="ORT488" s="4"/>
      <c r="ORU488" s="4"/>
      <c r="ORV488" s="4"/>
      <c r="ORW488" s="4"/>
      <c r="ORX488" s="4"/>
      <c r="ORY488" s="4"/>
      <c r="ORZ488" s="4"/>
      <c r="OSA488" s="4"/>
      <c r="OSB488" s="4"/>
      <c r="OSC488" s="4"/>
      <c r="OSD488" s="4"/>
      <c r="OSE488" s="4"/>
      <c r="OSF488" s="4"/>
      <c r="OSG488" s="4"/>
      <c r="OSH488" s="4"/>
      <c r="OSI488" s="4"/>
      <c r="OSJ488" s="4"/>
      <c r="OSK488" s="4"/>
      <c r="OSL488" s="4"/>
      <c r="OSM488" s="4"/>
      <c r="OSN488" s="4"/>
      <c r="OSO488" s="4"/>
      <c r="OSP488" s="4"/>
      <c r="OSQ488" s="4"/>
      <c r="OSR488" s="4"/>
      <c r="OSS488" s="4"/>
      <c r="OST488" s="4"/>
      <c r="OSU488" s="4"/>
      <c r="OSV488" s="4"/>
      <c r="OSW488" s="4"/>
      <c r="OSX488" s="4"/>
      <c r="OSY488" s="4"/>
      <c r="OSZ488" s="4"/>
      <c r="OTA488" s="4"/>
      <c r="OTB488" s="4"/>
      <c r="OTC488" s="4"/>
      <c r="OTD488" s="4"/>
      <c r="OTE488" s="4"/>
      <c r="OTF488" s="4"/>
      <c r="OTG488" s="4"/>
      <c r="OTH488" s="4"/>
      <c r="OTI488" s="4"/>
      <c r="OTJ488" s="4"/>
      <c r="OTK488" s="4"/>
      <c r="OTL488" s="4"/>
      <c r="OTM488" s="4"/>
      <c r="OTN488" s="4"/>
      <c r="OTO488" s="4"/>
      <c r="OTP488" s="4"/>
      <c r="OTQ488" s="4"/>
      <c r="OTR488" s="4"/>
      <c r="OTS488" s="4"/>
      <c r="OTT488" s="4"/>
      <c r="OTU488" s="4"/>
      <c r="OTV488" s="4"/>
      <c r="OTW488" s="4"/>
      <c r="OTX488" s="4"/>
      <c r="OTY488" s="4"/>
      <c r="OTZ488" s="4"/>
      <c r="OUA488" s="4"/>
      <c r="OUB488" s="4"/>
      <c r="OUC488" s="4"/>
      <c r="OUD488" s="4"/>
      <c r="OUE488" s="4"/>
      <c r="OUF488" s="4"/>
      <c r="OUG488" s="4"/>
      <c r="OUH488" s="4"/>
      <c r="OUI488" s="4"/>
      <c r="OUJ488" s="4"/>
      <c r="OUK488" s="4"/>
      <c r="OUL488" s="4"/>
      <c r="OUM488" s="4"/>
      <c r="OUN488" s="4"/>
      <c r="OUO488" s="4"/>
      <c r="OUP488" s="4"/>
      <c r="OUQ488" s="4"/>
      <c r="OUR488" s="4"/>
      <c r="OUS488" s="4"/>
      <c r="OUT488" s="4"/>
      <c r="OUU488" s="4"/>
      <c r="OUV488" s="4"/>
      <c r="OUW488" s="4"/>
      <c r="OUX488" s="4"/>
      <c r="OUY488" s="4"/>
      <c r="OUZ488" s="4"/>
      <c r="OVA488" s="4"/>
      <c r="OVB488" s="4"/>
      <c r="OVC488" s="4"/>
      <c r="OVD488" s="4"/>
      <c r="OVE488" s="4"/>
      <c r="OVF488" s="4"/>
      <c r="OVG488" s="4"/>
      <c r="OVH488" s="4"/>
      <c r="OVI488" s="4"/>
      <c r="OVJ488" s="4"/>
      <c r="OVK488" s="4"/>
      <c r="OVL488" s="4"/>
      <c r="OVM488" s="4"/>
      <c r="OVN488" s="4"/>
      <c r="OVO488" s="4"/>
      <c r="OVP488" s="4"/>
      <c r="OVQ488" s="4"/>
      <c r="OVR488" s="4"/>
      <c r="OVS488" s="4"/>
      <c r="OVT488" s="4"/>
      <c r="OVU488" s="4"/>
      <c r="OVV488" s="4"/>
      <c r="OVW488" s="4"/>
      <c r="OVX488" s="4"/>
      <c r="OVY488" s="4"/>
      <c r="OVZ488" s="4"/>
      <c r="OWA488" s="4"/>
      <c r="OWB488" s="4"/>
      <c r="OWC488" s="4"/>
      <c r="OWD488" s="4"/>
      <c r="OWE488" s="4"/>
      <c r="OWF488" s="4"/>
      <c r="OWG488" s="4"/>
      <c r="OWH488" s="4"/>
      <c r="OWI488" s="4"/>
      <c r="OWJ488" s="4"/>
      <c r="OWK488" s="4"/>
      <c r="OWL488" s="4"/>
      <c r="OWM488" s="4"/>
      <c r="OWN488" s="4"/>
      <c r="OWO488" s="4"/>
      <c r="OWP488" s="4"/>
      <c r="OWQ488" s="4"/>
      <c r="OWR488" s="4"/>
      <c r="OWS488" s="4"/>
      <c r="OWT488" s="4"/>
      <c r="OWU488" s="4"/>
      <c r="OWV488" s="4"/>
      <c r="OWW488" s="4"/>
      <c r="OWX488" s="4"/>
      <c r="OWY488" s="4"/>
      <c r="OWZ488" s="4"/>
      <c r="OXA488" s="4"/>
      <c r="OXB488" s="4"/>
      <c r="OXC488" s="4"/>
      <c r="OXD488" s="4"/>
      <c r="OXE488" s="4"/>
      <c r="OXF488" s="4"/>
      <c r="OXG488" s="4"/>
      <c r="OXH488" s="4"/>
      <c r="OXI488" s="4"/>
      <c r="OXJ488" s="4"/>
      <c r="OXK488" s="4"/>
      <c r="OXL488" s="4"/>
      <c r="OXM488" s="4"/>
      <c r="OXN488" s="4"/>
      <c r="OXO488" s="4"/>
      <c r="OXP488" s="4"/>
      <c r="OXQ488" s="4"/>
      <c r="OXR488" s="4"/>
      <c r="OXS488" s="4"/>
      <c r="OXT488" s="4"/>
      <c r="OXU488" s="4"/>
      <c r="OXV488" s="4"/>
      <c r="OXW488" s="4"/>
      <c r="OXX488" s="4"/>
      <c r="OXY488" s="4"/>
      <c r="OXZ488" s="4"/>
      <c r="OYA488" s="4"/>
      <c r="OYB488" s="4"/>
      <c r="OYC488" s="4"/>
      <c r="OYD488" s="4"/>
      <c r="OYE488" s="4"/>
      <c r="OYF488" s="4"/>
      <c r="OYG488" s="4"/>
      <c r="OYH488" s="4"/>
      <c r="OYI488" s="4"/>
      <c r="OYJ488" s="4"/>
      <c r="OYK488" s="4"/>
      <c r="OYL488" s="4"/>
      <c r="OYM488" s="4"/>
      <c r="OYN488" s="4"/>
      <c r="OYO488" s="4"/>
      <c r="OYP488" s="4"/>
      <c r="OYQ488" s="4"/>
      <c r="OYR488" s="4"/>
      <c r="OYS488" s="4"/>
      <c r="OYT488" s="4"/>
      <c r="OYU488" s="4"/>
      <c r="OYV488" s="4"/>
      <c r="OYW488" s="4"/>
      <c r="OYX488" s="4"/>
      <c r="OYY488" s="4"/>
      <c r="OYZ488" s="4"/>
      <c r="OZA488" s="4"/>
      <c r="OZB488" s="4"/>
      <c r="OZC488" s="4"/>
      <c r="OZD488" s="4"/>
      <c r="OZE488" s="4"/>
      <c r="OZF488" s="4"/>
      <c r="OZG488" s="4"/>
      <c r="OZH488" s="4"/>
      <c r="OZI488" s="4"/>
      <c r="OZJ488" s="4"/>
      <c r="OZK488" s="4"/>
      <c r="OZL488" s="4"/>
      <c r="OZM488" s="4"/>
      <c r="OZN488" s="4"/>
      <c r="OZO488" s="4"/>
      <c r="OZP488" s="4"/>
      <c r="OZQ488" s="4"/>
      <c r="OZR488" s="4"/>
      <c r="OZS488" s="4"/>
      <c r="OZT488" s="4"/>
      <c r="OZU488" s="4"/>
      <c r="OZV488" s="4"/>
      <c r="OZW488" s="4"/>
      <c r="OZX488" s="4"/>
      <c r="OZY488" s="4"/>
      <c r="OZZ488" s="4"/>
      <c r="PAA488" s="4"/>
      <c r="PAB488" s="4"/>
      <c r="PAC488" s="4"/>
      <c r="PAD488" s="4"/>
      <c r="PAE488" s="4"/>
      <c r="PAF488" s="4"/>
      <c r="PAG488" s="4"/>
      <c r="PAH488" s="4"/>
      <c r="PAI488" s="4"/>
      <c r="PAJ488" s="4"/>
      <c r="PAK488" s="4"/>
      <c r="PAL488" s="4"/>
      <c r="PAM488" s="4"/>
      <c r="PAN488" s="4"/>
      <c r="PAO488" s="4"/>
      <c r="PAP488" s="4"/>
      <c r="PAQ488" s="4"/>
      <c r="PAR488" s="4"/>
      <c r="PAS488" s="4"/>
      <c r="PAT488" s="4"/>
      <c r="PAU488" s="4"/>
      <c r="PAV488" s="4"/>
      <c r="PAW488" s="4"/>
      <c r="PAX488" s="4"/>
      <c r="PAY488" s="4"/>
      <c r="PAZ488" s="4"/>
      <c r="PBA488" s="4"/>
      <c r="PBB488" s="4"/>
      <c r="PBC488" s="4"/>
      <c r="PBD488" s="4"/>
      <c r="PBE488" s="4"/>
      <c r="PBF488" s="4"/>
      <c r="PBG488" s="4"/>
      <c r="PBH488" s="4"/>
      <c r="PBI488" s="4"/>
      <c r="PBJ488" s="4"/>
      <c r="PBK488" s="4"/>
      <c r="PBL488" s="4"/>
      <c r="PBM488" s="4"/>
      <c r="PBN488" s="4"/>
      <c r="PBO488" s="4"/>
      <c r="PBP488" s="4"/>
      <c r="PBQ488" s="4"/>
      <c r="PBR488" s="4"/>
      <c r="PBS488" s="4"/>
      <c r="PBT488" s="4"/>
      <c r="PBU488" s="4"/>
      <c r="PBV488" s="4"/>
      <c r="PBW488" s="4"/>
      <c r="PBX488" s="4"/>
      <c r="PBY488" s="4"/>
      <c r="PBZ488" s="4"/>
      <c r="PCA488" s="4"/>
      <c r="PCB488" s="4"/>
      <c r="PCC488" s="4"/>
      <c r="PCD488" s="4"/>
      <c r="PCE488" s="4"/>
      <c r="PCF488" s="4"/>
      <c r="PCG488" s="4"/>
      <c r="PCH488" s="4"/>
      <c r="PCI488" s="4"/>
      <c r="PCJ488" s="4"/>
      <c r="PCK488" s="4"/>
      <c r="PCL488" s="4"/>
      <c r="PCM488" s="4"/>
      <c r="PCN488" s="4"/>
      <c r="PCO488" s="4"/>
      <c r="PCP488" s="4"/>
      <c r="PCQ488" s="4"/>
      <c r="PCR488" s="4"/>
      <c r="PCS488" s="4"/>
      <c r="PCT488" s="4"/>
      <c r="PCU488" s="4"/>
      <c r="PCV488" s="4"/>
      <c r="PCW488" s="4"/>
      <c r="PCX488" s="4"/>
      <c r="PCY488" s="4"/>
      <c r="PCZ488" s="4"/>
      <c r="PDA488" s="4"/>
      <c r="PDB488" s="4"/>
      <c r="PDC488" s="4"/>
      <c r="PDD488" s="4"/>
      <c r="PDE488" s="4"/>
      <c r="PDF488" s="4"/>
      <c r="PDG488" s="4"/>
      <c r="PDH488" s="4"/>
      <c r="PDI488" s="4"/>
      <c r="PDJ488" s="4"/>
      <c r="PDK488" s="4"/>
      <c r="PDL488" s="4"/>
      <c r="PDM488" s="4"/>
      <c r="PDN488" s="4"/>
      <c r="PDO488" s="4"/>
      <c r="PDP488" s="4"/>
      <c r="PDQ488" s="4"/>
      <c r="PDR488" s="4"/>
      <c r="PDS488" s="4"/>
      <c r="PDT488" s="4"/>
      <c r="PDU488" s="4"/>
      <c r="PDV488" s="4"/>
      <c r="PDW488" s="4"/>
      <c r="PDX488" s="4"/>
      <c r="PDY488" s="4"/>
      <c r="PDZ488" s="4"/>
      <c r="PEA488" s="4"/>
      <c r="PEB488" s="4"/>
      <c r="PEC488" s="4"/>
      <c r="PED488" s="4"/>
      <c r="PEE488" s="4"/>
      <c r="PEF488" s="4"/>
      <c r="PEG488" s="4"/>
      <c r="PEH488" s="4"/>
      <c r="PEI488" s="4"/>
      <c r="PEJ488" s="4"/>
      <c r="PEK488" s="4"/>
      <c r="PEL488" s="4"/>
      <c r="PEM488" s="4"/>
      <c r="PEN488" s="4"/>
      <c r="PEO488" s="4"/>
      <c r="PEP488" s="4"/>
      <c r="PEQ488" s="4"/>
      <c r="PER488" s="4"/>
      <c r="PES488" s="4"/>
      <c r="PET488" s="4"/>
      <c r="PEU488" s="4"/>
      <c r="PEV488" s="4"/>
      <c r="PEW488" s="4"/>
      <c r="PEX488" s="4"/>
      <c r="PEY488" s="4"/>
      <c r="PEZ488" s="4"/>
      <c r="PFA488" s="4"/>
      <c r="PFB488" s="4"/>
      <c r="PFC488" s="4"/>
      <c r="PFD488" s="4"/>
      <c r="PFE488" s="4"/>
      <c r="PFF488" s="4"/>
      <c r="PFG488" s="4"/>
      <c r="PFH488" s="4"/>
      <c r="PFI488" s="4"/>
      <c r="PFJ488" s="4"/>
      <c r="PFK488" s="4"/>
      <c r="PFL488" s="4"/>
      <c r="PFM488" s="4"/>
      <c r="PFN488" s="4"/>
      <c r="PFO488" s="4"/>
      <c r="PFP488" s="4"/>
      <c r="PFQ488" s="4"/>
      <c r="PFR488" s="4"/>
      <c r="PFS488" s="4"/>
      <c r="PFT488" s="4"/>
      <c r="PFU488" s="4"/>
      <c r="PFV488" s="4"/>
      <c r="PFW488" s="4"/>
      <c r="PFX488" s="4"/>
      <c r="PFY488" s="4"/>
      <c r="PFZ488" s="4"/>
      <c r="PGA488" s="4"/>
      <c r="PGB488" s="4"/>
      <c r="PGC488" s="4"/>
      <c r="PGD488" s="4"/>
      <c r="PGE488" s="4"/>
      <c r="PGF488" s="4"/>
      <c r="PGG488" s="4"/>
      <c r="PGH488" s="4"/>
      <c r="PGI488" s="4"/>
      <c r="PGJ488" s="4"/>
      <c r="PGK488" s="4"/>
      <c r="PGL488" s="4"/>
      <c r="PGM488" s="4"/>
      <c r="PGN488" s="4"/>
      <c r="PGO488" s="4"/>
      <c r="PGP488" s="4"/>
      <c r="PGQ488" s="4"/>
      <c r="PGR488" s="4"/>
      <c r="PGS488" s="4"/>
      <c r="PGT488" s="4"/>
      <c r="PGU488" s="4"/>
      <c r="PGV488" s="4"/>
      <c r="PGW488" s="4"/>
      <c r="PGX488" s="4"/>
      <c r="PGY488" s="4"/>
      <c r="PGZ488" s="4"/>
      <c r="PHA488" s="4"/>
      <c r="PHB488" s="4"/>
      <c r="PHC488" s="4"/>
      <c r="PHD488" s="4"/>
      <c r="PHE488" s="4"/>
      <c r="PHF488" s="4"/>
      <c r="PHG488" s="4"/>
      <c r="PHH488" s="4"/>
      <c r="PHI488" s="4"/>
      <c r="PHJ488" s="4"/>
      <c r="PHK488" s="4"/>
      <c r="PHL488" s="4"/>
      <c r="PHM488" s="4"/>
      <c r="PHN488" s="4"/>
      <c r="PHO488" s="4"/>
      <c r="PHP488" s="4"/>
      <c r="PHQ488" s="4"/>
      <c r="PHR488" s="4"/>
      <c r="PHS488" s="4"/>
      <c r="PHT488" s="4"/>
      <c r="PHU488" s="4"/>
      <c r="PHV488" s="4"/>
      <c r="PHW488" s="4"/>
      <c r="PHX488" s="4"/>
      <c r="PHY488" s="4"/>
      <c r="PHZ488" s="4"/>
      <c r="PIA488" s="4"/>
      <c r="PIB488" s="4"/>
      <c r="PIC488" s="4"/>
      <c r="PID488" s="4"/>
      <c r="PIE488" s="4"/>
      <c r="PIF488" s="4"/>
      <c r="PIG488" s="4"/>
      <c r="PIH488" s="4"/>
      <c r="PII488" s="4"/>
      <c r="PIJ488" s="4"/>
      <c r="PIK488" s="4"/>
      <c r="PIL488" s="4"/>
      <c r="PIM488" s="4"/>
      <c r="PIN488" s="4"/>
      <c r="PIO488" s="4"/>
      <c r="PIP488" s="4"/>
      <c r="PIQ488" s="4"/>
      <c r="PIR488" s="4"/>
      <c r="PIS488" s="4"/>
      <c r="PIT488" s="4"/>
      <c r="PIU488" s="4"/>
      <c r="PIV488" s="4"/>
      <c r="PIW488" s="4"/>
      <c r="PIX488" s="4"/>
      <c r="PIY488" s="4"/>
      <c r="PIZ488" s="4"/>
      <c r="PJA488" s="4"/>
      <c r="PJB488" s="4"/>
      <c r="PJC488" s="4"/>
      <c r="PJD488" s="4"/>
      <c r="PJE488" s="4"/>
      <c r="PJF488" s="4"/>
      <c r="PJG488" s="4"/>
      <c r="PJH488" s="4"/>
      <c r="PJI488" s="4"/>
      <c r="PJJ488" s="4"/>
      <c r="PJK488" s="4"/>
      <c r="PJL488" s="4"/>
      <c r="PJM488" s="4"/>
      <c r="PJN488" s="4"/>
      <c r="PJO488" s="4"/>
      <c r="PJP488" s="4"/>
      <c r="PJQ488" s="4"/>
      <c r="PJR488" s="4"/>
      <c r="PJS488" s="4"/>
      <c r="PJT488" s="4"/>
      <c r="PJU488" s="4"/>
      <c r="PJV488" s="4"/>
      <c r="PJW488" s="4"/>
      <c r="PJX488" s="4"/>
      <c r="PJY488" s="4"/>
      <c r="PJZ488" s="4"/>
      <c r="PKA488" s="4"/>
      <c r="PKB488" s="4"/>
      <c r="PKC488" s="4"/>
      <c r="PKD488" s="4"/>
      <c r="PKE488" s="4"/>
      <c r="PKF488" s="4"/>
      <c r="PKG488" s="4"/>
      <c r="PKH488" s="4"/>
      <c r="PKI488" s="4"/>
      <c r="PKJ488" s="4"/>
      <c r="PKK488" s="4"/>
      <c r="PKL488" s="4"/>
      <c r="PKM488" s="4"/>
      <c r="PKN488" s="4"/>
      <c r="PKO488" s="4"/>
      <c r="PKP488" s="4"/>
      <c r="PKQ488" s="4"/>
      <c r="PKR488" s="4"/>
      <c r="PKS488" s="4"/>
      <c r="PKT488" s="4"/>
      <c r="PKU488" s="4"/>
      <c r="PKV488" s="4"/>
      <c r="PKW488" s="4"/>
      <c r="PKX488" s="4"/>
      <c r="PKY488" s="4"/>
      <c r="PKZ488" s="4"/>
      <c r="PLA488" s="4"/>
      <c r="PLB488" s="4"/>
      <c r="PLC488" s="4"/>
      <c r="PLD488" s="4"/>
      <c r="PLE488" s="4"/>
      <c r="PLF488" s="4"/>
      <c r="PLG488" s="4"/>
      <c r="PLH488" s="4"/>
      <c r="PLI488" s="4"/>
      <c r="PLJ488" s="4"/>
      <c r="PLK488" s="4"/>
      <c r="PLL488" s="4"/>
      <c r="PLM488" s="4"/>
      <c r="PLN488" s="4"/>
      <c r="PLO488" s="4"/>
      <c r="PLP488" s="4"/>
      <c r="PLQ488" s="4"/>
      <c r="PLR488" s="4"/>
      <c r="PLS488" s="4"/>
      <c r="PLT488" s="4"/>
      <c r="PLU488" s="4"/>
      <c r="PLV488" s="4"/>
      <c r="PLW488" s="4"/>
      <c r="PLX488" s="4"/>
      <c r="PLY488" s="4"/>
      <c r="PLZ488" s="4"/>
      <c r="PMA488" s="4"/>
      <c r="PMB488" s="4"/>
      <c r="PMC488" s="4"/>
      <c r="PMD488" s="4"/>
      <c r="PME488" s="4"/>
      <c r="PMF488" s="4"/>
      <c r="PMG488" s="4"/>
      <c r="PMH488" s="4"/>
      <c r="PMI488" s="4"/>
      <c r="PMJ488" s="4"/>
      <c r="PMK488" s="4"/>
      <c r="PML488" s="4"/>
      <c r="PMM488" s="4"/>
      <c r="PMN488" s="4"/>
      <c r="PMO488" s="4"/>
      <c r="PMP488" s="4"/>
      <c r="PMQ488" s="4"/>
      <c r="PMR488" s="4"/>
      <c r="PMS488" s="4"/>
      <c r="PMT488" s="4"/>
      <c r="PMU488" s="4"/>
      <c r="PMV488" s="4"/>
      <c r="PMW488" s="4"/>
      <c r="PMX488" s="4"/>
      <c r="PMY488" s="4"/>
      <c r="PMZ488" s="4"/>
      <c r="PNA488" s="4"/>
      <c r="PNB488" s="4"/>
      <c r="PNC488" s="4"/>
      <c r="PND488" s="4"/>
      <c r="PNE488" s="4"/>
      <c r="PNF488" s="4"/>
      <c r="PNG488" s="4"/>
      <c r="PNH488" s="4"/>
      <c r="PNI488" s="4"/>
      <c r="PNJ488" s="4"/>
      <c r="PNK488" s="4"/>
      <c r="PNL488" s="4"/>
      <c r="PNM488" s="4"/>
      <c r="PNN488" s="4"/>
      <c r="PNO488" s="4"/>
      <c r="PNP488" s="4"/>
      <c r="PNQ488" s="4"/>
      <c r="PNR488" s="4"/>
      <c r="PNS488" s="4"/>
      <c r="PNT488" s="4"/>
      <c r="PNU488" s="4"/>
      <c r="PNV488" s="4"/>
      <c r="PNW488" s="4"/>
      <c r="PNX488" s="4"/>
      <c r="PNY488" s="4"/>
      <c r="PNZ488" s="4"/>
      <c r="POA488" s="4"/>
      <c r="POB488" s="4"/>
      <c r="POC488" s="4"/>
      <c r="POD488" s="4"/>
      <c r="POE488" s="4"/>
      <c r="POF488" s="4"/>
      <c r="POG488" s="4"/>
      <c r="POH488" s="4"/>
      <c r="POI488" s="4"/>
      <c r="POJ488" s="4"/>
      <c r="POK488" s="4"/>
      <c r="POL488" s="4"/>
      <c r="POM488" s="4"/>
      <c r="PON488" s="4"/>
      <c r="POO488" s="4"/>
      <c r="POP488" s="4"/>
      <c r="POQ488" s="4"/>
      <c r="POR488" s="4"/>
      <c r="POS488" s="4"/>
      <c r="POT488" s="4"/>
      <c r="POU488" s="4"/>
      <c r="POV488" s="4"/>
      <c r="POW488" s="4"/>
      <c r="POX488" s="4"/>
      <c r="POY488" s="4"/>
      <c r="POZ488" s="4"/>
      <c r="PPA488" s="4"/>
      <c r="PPB488" s="4"/>
      <c r="PPC488" s="4"/>
      <c r="PPD488" s="4"/>
      <c r="PPE488" s="4"/>
      <c r="PPF488" s="4"/>
      <c r="PPG488" s="4"/>
      <c r="PPH488" s="4"/>
      <c r="PPI488" s="4"/>
      <c r="PPJ488" s="4"/>
      <c r="PPK488" s="4"/>
      <c r="PPL488" s="4"/>
      <c r="PPM488" s="4"/>
      <c r="PPN488" s="4"/>
      <c r="PPO488" s="4"/>
      <c r="PPP488" s="4"/>
      <c r="PPQ488" s="4"/>
      <c r="PPR488" s="4"/>
      <c r="PPS488" s="4"/>
      <c r="PPT488" s="4"/>
      <c r="PPU488" s="4"/>
      <c r="PPV488" s="4"/>
      <c r="PPW488" s="4"/>
      <c r="PPX488" s="4"/>
      <c r="PPY488" s="4"/>
      <c r="PPZ488" s="4"/>
      <c r="PQA488" s="4"/>
      <c r="PQB488" s="4"/>
      <c r="PQC488" s="4"/>
      <c r="PQD488" s="4"/>
      <c r="PQE488" s="4"/>
      <c r="PQF488" s="4"/>
      <c r="PQG488" s="4"/>
      <c r="PQH488" s="4"/>
      <c r="PQI488" s="4"/>
      <c r="PQJ488" s="4"/>
      <c r="PQK488" s="4"/>
      <c r="PQL488" s="4"/>
      <c r="PQM488" s="4"/>
      <c r="PQN488" s="4"/>
      <c r="PQO488" s="4"/>
      <c r="PQP488" s="4"/>
      <c r="PQQ488" s="4"/>
      <c r="PQR488" s="4"/>
      <c r="PQS488" s="4"/>
      <c r="PQT488" s="4"/>
      <c r="PQU488" s="4"/>
      <c r="PQV488" s="4"/>
      <c r="PQW488" s="4"/>
      <c r="PQX488" s="4"/>
      <c r="PQY488" s="4"/>
      <c r="PQZ488" s="4"/>
      <c r="PRA488" s="4"/>
      <c r="PRB488" s="4"/>
      <c r="PRC488" s="4"/>
      <c r="PRD488" s="4"/>
      <c r="PRE488" s="4"/>
      <c r="PRF488" s="4"/>
      <c r="PRG488" s="4"/>
      <c r="PRH488" s="4"/>
      <c r="PRI488" s="4"/>
      <c r="PRJ488" s="4"/>
      <c r="PRK488" s="4"/>
      <c r="PRL488" s="4"/>
      <c r="PRM488" s="4"/>
      <c r="PRN488" s="4"/>
      <c r="PRO488" s="4"/>
      <c r="PRP488" s="4"/>
      <c r="PRQ488" s="4"/>
      <c r="PRR488" s="4"/>
      <c r="PRS488" s="4"/>
      <c r="PRT488" s="4"/>
      <c r="PRU488" s="4"/>
      <c r="PRV488" s="4"/>
      <c r="PRW488" s="4"/>
      <c r="PRX488" s="4"/>
      <c r="PRY488" s="4"/>
      <c r="PRZ488" s="4"/>
      <c r="PSA488" s="4"/>
      <c r="PSB488" s="4"/>
      <c r="PSC488" s="4"/>
      <c r="PSD488" s="4"/>
      <c r="PSE488" s="4"/>
      <c r="PSF488" s="4"/>
      <c r="PSG488" s="4"/>
      <c r="PSH488" s="4"/>
      <c r="PSI488" s="4"/>
      <c r="PSJ488" s="4"/>
      <c r="PSK488" s="4"/>
      <c r="PSL488" s="4"/>
      <c r="PSM488" s="4"/>
      <c r="PSN488" s="4"/>
      <c r="PSO488" s="4"/>
      <c r="PSP488" s="4"/>
      <c r="PSQ488" s="4"/>
      <c r="PSR488" s="4"/>
      <c r="PSS488" s="4"/>
      <c r="PST488" s="4"/>
      <c r="PSU488" s="4"/>
      <c r="PSV488" s="4"/>
      <c r="PSW488" s="4"/>
      <c r="PSX488" s="4"/>
      <c r="PSY488" s="4"/>
      <c r="PSZ488" s="4"/>
      <c r="PTA488" s="4"/>
      <c r="PTB488" s="4"/>
      <c r="PTC488" s="4"/>
      <c r="PTD488" s="4"/>
      <c r="PTE488" s="4"/>
      <c r="PTF488" s="4"/>
      <c r="PTG488" s="4"/>
      <c r="PTH488" s="4"/>
      <c r="PTI488" s="4"/>
      <c r="PTJ488" s="4"/>
      <c r="PTK488" s="4"/>
      <c r="PTL488" s="4"/>
      <c r="PTM488" s="4"/>
      <c r="PTN488" s="4"/>
      <c r="PTO488" s="4"/>
      <c r="PTP488" s="4"/>
      <c r="PTQ488" s="4"/>
      <c r="PTR488" s="4"/>
      <c r="PTS488" s="4"/>
      <c r="PTT488" s="4"/>
      <c r="PTU488" s="4"/>
      <c r="PTV488" s="4"/>
      <c r="PTW488" s="4"/>
      <c r="PTX488" s="4"/>
      <c r="PTY488" s="4"/>
      <c r="PTZ488" s="4"/>
      <c r="PUA488" s="4"/>
      <c r="PUB488" s="4"/>
      <c r="PUC488" s="4"/>
      <c r="PUD488" s="4"/>
      <c r="PUE488" s="4"/>
      <c r="PUF488" s="4"/>
      <c r="PUG488" s="4"/>
      <c r="PUH488" s="4"/>
      <c r="PUI488" s="4"/>
      <c r="PUJ488" s="4"/>
      <c r="PUK488" s="4"/>
      <c r="PUL488" s="4"/>
      <c r="PUM488" s="4"/>
      <c r="PUN488" s="4"/>
      <c r="PUO488" s="4"/>
      <c r="PUP488" s="4"/>
      <c r="PUQ488" s="4"/>
      <c r="PUR488" s="4"/>
      <c r="PUS488" s="4"/>
      <c r="PUT488" s="4"/>
      <c r="PUU488" s="4"/>
      <c r="PUV488" s="4"/>
      <c r="PUW488" s="4"/>
      <c r="PUX488" s="4"/>
      <c r="PUY488" s="4"/>
      <c r="PUZ488" s="4"/>
      <c r="PVA488" s="4"/>
      <c r="PVB488" s="4"/>
      <c r="PVC488" s="4"/>
      <c r="PVD488" s="4"/>
      <c r="PVE488" s="4"/>
      <c r="PVF488" s="4"/>
      <c r="PVG488" s="4"/>
      <c r="PVH488" s="4"/>
      <c r="PVI488" s="4"/>
      <c r="PVJ488" s="4"/>
      <c r="PVK488" s="4"/>
      <c r="PVL488" s="4"/>
      <c r="PVM488" s="4"/>
      <c r="PVN488" s="4"/>
      <c r="PVO488" s="4"/>
      <c r="PVP488" s="4"/>
      <c r="PVQ488" s="4"/>
      <c r="PVR488" s="4"/>
      <c r="PVS488" s="4"/>
      <c r="PVT488" s="4"/>
      <c r="PVU488" s="4"/>
      <c r="PVV488" s="4"/>
      <c r="PVW488" s="4"/>
      <c r="PVX488" s="4"/>
      <c r="PVY488" s="4"/>
      <c r="PVZ488" s="4"/>
      <c r="PWA488" s="4"/>
      <c r="PWB488" s="4"/>
      <c r="PWC488" s="4"/>
      <c r="PWD488" s="4"/>
      <c r="PWE488" s="4"/>
      <c r="PWF488" s="4"/>
      <c r="PWG488" s="4"/>
      <c r="PWH488" s="4"/>
      <c r="PWI488" s="4"/>
      <c r="PWJ488" s="4"/>
      <c r="PWK488" s="4"/>
      <c r="PWL488" s="4"/>
      <c r="PWM488" s="4"/>
      <c r="PWN488" s="4"/>
      <c r="PWO488" s="4"/>
      <c r="PWP488" s="4"/>
      <c r="PWQ488" s="4"/>
      <c r="PWR488" s="4"/>
      <c r="PWS488" s="4"/>
      <c r="PWT488" s="4"/>
      <c r="PWU488" s="4"/>
      <c r="PWV488" s="4"/>
      <c r="PWW488" s="4"/>
      <c r="PWX488" s="4"/>
      <c r="PWY488" s="4"/>
      <c r="PWZ488" s="4"/>
      <c r="PXA488" s="4"/>
      <c r="PXB488" s="4"/>
      <c r="PXC488" s="4"/>
      <c r="PXD488" s="4"/>
      <c r="PXE488" s="4"/>
      <c r="PXF488" s="4"/>
      <c r="PXG488" s="4"/>
      <c r="PXH488" s="4"/>
      <c r="PXI488" s="4"/>
      <c r="PXJ488" s="4"/>
      <c r="PXK488" s="4"/>
      <c r="PXL488" s="4"/>
      <c r="PXM488" s="4"/>
      <c r="PXN488" s="4"/>
      <c r="PXO488" s="4"/>
      <c r="PXP488" s="4"/>
      <c r="PXQ488" s="4"/>
      <c r="PXR488" s="4"/>
      <c r="PXS488" s="4"/>
      <c r="PXT488" s="4"/>
      <c r="PXU488" s="4"/>
      <c r="PXV488" s="4"/>
      <c r="PXW488" s="4"/>
      <c r="PXX488" s="4"/>
      <c r="PXY488" s="4"/>
      <c r="PXZ488" s="4"/>
      <c r="PYA488" s="4"/>
      <c r="PYB488" s="4"/>
      <c r="PYC488" s="4"/>
      <c r="PYD488" s="4"/>
      <c r="PYE488" s="4"/>
      <c r="PYF488" s="4"/>
      <c r="PYG488" s="4"/>
      <c r="PYH488" s="4"/>
      <c r="PYI488" s="4"/>
      <c r="PYJ488" s="4"/>
      <c r="PYK488" s="4"/>
      <c r="PYL488" s="4"/>
      <c r="PYM488" s="4"/>
      <c r="PYN488" s="4"/>
      <c r="PYO488" s="4"/>
      <c r="PYP488" s="4"/>
      <c r="PYQ488" s="4"/>
      <c r="PYR488" s="4"/>
      <c r="PYS488" s="4"/>
      <c r="PYT488" s="4"/>
      <c r="PYU488" s="4"/>
      <c r="PYV488" s="4"/>
      <c r="PYW488" s="4"/>
      <c r="PYX488" s="4"/>
      <c r="PYY488" s="4"/>
      <c r="PYZ488" s="4"/>
      <c r="PZA488" s="4"/>
      <c r="PZB488" s="4"/>
      <c r="PZC488" s="4"/>
      <c r="PZD488" s="4"/>
      <c r="PZE488" s="4"/>
      <c r="PZF488" s="4"/>
      <c r="PZG488" s="4"/>
      <c r="PZH488" s="4"/>
      <c r="PZI488" s="4"/>
      <c r="PZJ488" s="4"/>
      <c r="PZK488" s="4"/>
      <c r="PZL488" s="4"/>
      <c r="PZM488" s="4"/>
      <c r="PZN488" s="4"/>
      <c r="PZO488" s="4"/>
      <c r="PZP488" s="4"/>
      <c r="PZQ488" s="4"/>
      <c r="PZR488" s="4"/>
      <c r="PZS488" s="4"/>
      <c r="PZT488" s="4"/>
      <c r="PZU488" s="4"/>
      <c r="PZV488" s="4"/>
      <c r="PZW488" s="4"/>
      <c r="PZX488" s="4"/>
      <c r="PZY488" s="4"/>
      <c r="PZZ488" s="4"/>
      <c r="QAA488" s="4"/>
      <c r="QAB488" s="4"/>
      <c r="QAC488" s="4"/>
      <c r="QAD488" s="4"/>
      <c r="QAE488" s="4"/>
      <c r="QAF488" s="4"/>
      <c r="QAG488" s="4"/>
      <c r="QAH488" s="4"/>
      <c r="QAI488" s="4"/>
      <c r="QAJ488" s="4"/>
      <c r="QAK488" s="4"/>
      <c r="QAL488" s="4"/>
      <c r="QAM488" s="4"/>
      <c r="QAN488" s="4"/>
      <c r="QAO488" s="4"/>
      <c r="QAP488" s="4"/>
      <c r="QAQ488" s="4"/>
      <c r="QAR488" s="4"/>
      <c r="QAS488" s="4"/>
      <c r="QAT488" s="4"/>
      <c r="QAU488" s="4"/>
      <c r="QAV488" s="4"/>
      <c r="QAW488" s="4"/>
      <c r="QAX488" s="4"/>
      <c r="QAY488" s="4"/>
      <c r="QAZ488" s="4"/>
      <c r="QBA488" s="4"/>
      <c r="QBB488" s="4"/>
      <c r="QBC488" s="4"/>
      <c r="QBD488" s="4"/>
      <c r="QBE488" s="4"/>
      <c r="QBF488" s="4"/>
      <c r="QBG488" s="4"/>
      <c r="QBH488" s="4"/>
      <c r="QBI488" s="4"/>
      <c r="QBJ488" s="4"/>
      <c r="QBK488" s="4"/>
      <c r="QBL488" s="4"/>
      <c r="QBM488" s="4"/>
      <c r="QBN488" s="4"/>
      <c r="QBO488" s="4"/>
      <c r="QBP488" s="4"/>
      <c r="QBQ488" s="4"/>
      <c r="QBR488" s="4"/>
      <c r="QBS488" s="4"/>
      <c r="QBT488" s="4"/>
      <c r="QBU488" s="4"/>
      <c r="QBV488" s="4"/>
      <c r="QBW488" s="4"/>
      <c r="QBX488" s="4"/>
      <c r="QBY488" s="4"/>
      <c r="QBZ488" s="4"/>
      <c r="QCA488" s="4"/>
      <c r="QCB488" s="4"/>
      <c r="QCC488" s="4"/>
      <c r="QCD488" s="4"/>
      <c r="QCE488" s="4"/>
      <c r="QCF488" s="4"/>
      <c r="QCG488" s="4"/>
      <c r="QCH488" s="4"/>
      <c r="QCI488" s="4"/>
      <c r="QCJ488" s="4"/>
      <c r="QCK488" s="4"/>
      <c r="QCL488" s="4"/>
      <c r="QCM488" s="4"/>
      <c r="QCN488" s="4"/>
      <c r="QCO488" s="4"/>
      <c r="QCP488" s="4"/>
      <c r="QCQ488" s="4"/>
      <c r="QCR488" s="4"/>
      <c r="QCS488" s="4"/>
      <c r="QCT488" s="4"/>
      <c r="QCU488" s="4"/>
      <c r="QCV488" s="4"/>
      <c r="QCW488" s="4"/>
      <c r="QCX488" s="4"/>
      <c r="QCY488" s="4"/>
      <c r="QCZ488" s="4"/>
      <c r="QDA488" s="4"/>
      <c r="QDB488" s="4"/>
      <c r="QDC488" s="4"/>
      <c r="QDD488" s="4"/>
      <c r="QDE488" s="4"/>
      <c r="QDF488" s="4"/>
      <c r="QDG488" s="4"/>
      <c r="QDH488" s="4"/>
      <c r="QDI488" s="4"/>
      <c r="QDJ488" s="4"/>
      <c r="QDK488" s="4"/>
      <c r="QDL488" s="4"/>
      <c r="QDM488" s="4"/>
      <c r="QDN488" s="4"/>
      <c r="QDO488" s="4"/>
      <c r="QDP488" s="4"/>
      <c r="QDQ488" s="4"/>
      <c r="QDR488" s="4"/>
      <c r="QDS488" s="4"/>
      <c r="QDT488" s="4"/>
      <c r="QDU488" s="4"/>
      <c r="QDV488" s="4"/>
      <c r="QDW488" s="4"/>
      <c r="QDX488" s="4"/>
      <c r="QDY488" s="4"/>
      <c r="QDZ488" s="4"/>
      <c r="QEA488" s="4"/>
      <c r="QEB488" s="4"/>
      <c r="QEC488" s="4"/>
      <c r="QED488" s="4"/>
      <c r="QEE488" s="4"/>
      <c r="QEF488" s="4"/>
      <c r="QEG488" s="4"/>
      <c r="QEH488" s="4"/>
      <c r="QEI488" s="4"/>
      <c r="QEJ488" s="4"/>
      <c r="QEK488" s="4"/>
      <c r="QEL488" s="4"/>
      <c r="QEM488" s="4"/>
      <c r="QEN488" s="4"/>
      <c r="QEO488" s="4"/>
      <c r="QEP488" s="4"/>
      <c r="QEQ488" s="4"/>
      <c r="QER488" s="4"/>
      <c r="QES488" s="4"/>
      <c r="QET488" s="4"/>
      <c r="QEU488" s="4"/>
      <c r="QEV488" s="4"/>
      <c r="QEW488" s="4"/>
      <c r="QEX488" s="4"/>
      <c r="QEY488" s="4"/>
      <c r="QEZ488" s="4"/>
      <c r="QFA488" s="4"/>
      <c r="QFB488" s="4"/>
      <c r="QFC488" s="4"/>
      <c r="QFD488" s="4"/>
      <c r="QFE488" s="4"/>
      <c r="QFF488" s="4"/>
      <c r="QFG488" s="4"/>
      <c r="QFH488" s="4"/>
      <c r="QFI488" s="4"/>
      <c r="QFJ488" s="4"/>
      <c r="QFK488" s="4"/>
      <c r="QFL488" s="4"/>
      <c r="QFM488" s="4"/>
      <c r="QFN488" s="4"/>
      <c r="QFO488" s="4"/>
      <c r="QFP488" s="4"/>
      <c r="QFQ488" s="4"/>
      <c r="QFR488" s="4"/>
      <c r="QFS488" s="4"/>
      <c r="QFT488" s="4"/>
      <c r="QFU488" s="4"/>
      <c r="QFV488" s="4"/>
      <c r="QFW488" s="4"/>
      <c r="QFX488" s="4"/>
      <c r="QFY488" s="4"/>
      <c r="QFZ488" s="4"/>
      <c r="QGA488" s="4"/>
      <c r="QGB488" s="4"/>
      <c r="QGC488" s="4"/>
      <c r="QGD488" s="4"/>
      <c r="QGE488" s="4"/>
      <c r="QGF488" s="4"/>
      <c r="QGG488" s="4"/>
      <c r="QGH488" s="4"/>
      <c r="QGI488" s="4"/>
      <c r="QGJ488" s="4"/>
      <c r="QGK488" s="4"/>
      <c r="QGL488" s="4"/>
      <c r="QGM488" s="4"/>
      <c r="QGN488" s="4"/>
      <c r="QGO488" s="4"/>
      <c r="QGP488" s="4"/>
      <c r="QGQ488" s="4"/>
      <c r="QGR488" s="4"/>
      <c r="QGS488" s="4"/>
      <c r="QGT488" s="4"/>
      <c r="QGU488" s="4"/>
      <c r="QGV488" s="4"/>
      <c r="QGW488" s="4"/>
      <c r="QGX488" s="4"/>
      <c r="QGY488" s="4"/>
      <c r="QGZ488" s="4"/>
      <c r="QHA488" s="4"/>
      <c r="QHB488" s="4"/>
      <c r="QHC488" s="4"/>
      <c r="QHD488" s="4"/>
      <c r="QHE488" s="4"/>
      <c r="QHF488" s="4"/>
      <c r="QHG488" s="4"/>
      <c r="QHH488" s="4"/>
      <c r="QHI488" s="4"/>
      <c r="QHJ488" s="4"/>
      <c r="QHK488" s="4"/>
      <c r="QHL488" s="4"/>
      <c r="QHM488" s="4"/>
      <c r="QHN488" s="4"/>
      <c r="QHO488" s="4"/>
      <c r="QHP488" s="4"/>
      <c r="QHQ488" s="4"/>
      <c r="QHR488" s="4"/>
      <c r="QHS488" s="4"/>
      <c r="QHT488" s="4"/>
      <c r="QHU488" s="4"/>
      <c r="QHV488" s="4"/>
      <c r="QHW488" s="4"/>
      <c r="QHX488" s="4"/>
      <c r="QHY488" s="4"/>
      <c r="QHZ488" s="4"/>
      <c r="QIA488" s="4"/>
      <c r="QIB488" s="4"/>
      <c r="QIC488" s="4"/>
      <c r="QID488" s="4"/>
      <c r="QIE488" s="4"/>
      <c r="QIF488" s="4"/>
      <c r="QIG488" s="4"/>
      <c r="QIH488" s="4"/>
      <c r="QII488" s="4"/>
      <c r="QIJ488" s="4"/>
      <c r="QIK488" s="4"/>
      <c r="QIL488" s="4"/>
      <c r="QIM488" s="4"/>
      <c r="QIN488" s="4"/>
      <c r="QIO488" s="4"/>
      <c r="QIP488" s="4"/>
      <c r="QIQ488" s="4"/>
      <c r="QIR488" s="4"/>
      <c r="QIS488" s="4"/>
      <c r="QIT488" s="4"/>
      <c r="QIU488" s="4"/>
      <c r="QIV488" s="4"/>
      <c r="QIW488" s="4"/>
      <c r="QIX488" s="4"/>
      <c r="QIY488" s="4"/>
      <c r="QIZ488" s="4"/>
      <c r="QJA488" s="4"/>
      <c r="QJB488" s="4"/>
      <c r="QJC488" s="4"/>
      <c r="QJD488" s="4"/>
      <c r="QJE488" s="4"/>
      <c r="QJF488" s="4"/>
      <c r="QJG488" s="4"/>
      <c r="QJH488" s="4"/>
      <c r="QJI488" s="4"/>
      <c r="QJJ488" s="4"/>
      <c r="QJK488" s="4"/>
      <c r="QJL488" s="4"/>
      <c r="QJM488" s="4"/>
      <c r="QJN488" s="4"/>
      <c r="QJO488" s="4"/>
      <c r="QJP488" s="4"/>
      <c r="QJQ488" s="4"/>
      <c r="QJR488" s="4"/>
      <c r="QJS488" s="4"/>
      <c r="QJT488" s="4"/>
      <c r="QJU488" s="4"/>
      <c r="QJV488" s="4"/>
      <c r="QJW488" s="4"/>
      <c r="QJX488" s="4"/>
      <c r="QJY488" s="4"/>
      <c r="QJZ488" s="4"/>
      <c r="QKA488" s="4"/>
      <c r="QKB488" s="4"/>
      <c r="QKC488" s="4"/>
      <c r="QKD488" s="4"/>
      <c r="QKE488" s="4"/>
      <c r="QKF488" s="4"/>
      <c r="QKG488" s="4"/>
      <c r="QKH488" s="4"/>
      <c r="QKI488" s="4"/>
      <c r="QKJ488" s="4"/>
      <c r="QKK488" s="4"/>
      <c r="QKL488" s="4"/>
      <c r="QKM488" s="4"/>
      <c r="QKN488" s="4"/>
      <c r="QKO488" s="4"/>
      <c r="QKP488" s="4"/>
      <c r="QKQ488" s="4"/>
      <c r="QKR488" s="4"/>
      <c r="QKS488" s="4"/>
      <c r="QKT488" s="4"/>
      <c r="QKU488" s="4"/>
      <c r="QKV488" s="4"/>
      <c r="QKW488" s="4"/>
      <c r="QKX488" s="4"/>
      <c r="QKY488" s="4"/>
      <c r="QKZ488" s="4"/>
      <c r="QLA488" s="4"/>
      <c r="QLB488" s="4"/>
      <c r="QLC488" s="4"/>
      <c r="QLD488" s="4"/>
      <c r="QLE488" s="4"/>
      <c r="QLF488" s="4"/>
      <c r="QLG488" s="4"/>
      <c r="QLH488" s="4"/>
      <c r="QLI488" s="4"/>
      <c r="QLJ488" s="4"/>
      <c r="QLK488" s="4"/>
      <c r="QLL488" s="4"/>
      <c r="QLM488" s="4"/>
      <c r="QLN488" s="4"/>
      <c r="QLO488" s="4"/>
      <c r="QLP488" s="4"/>
      <c r="QLQ488" s="4"/>
      <c r="QLR488" s="4"/>
      <c r="QLS488" s="4"/>
      <c r="QLT488" s="4"/>
      <c r="QLU488" s="4"/>
      <c r="QLV488" s="4"/>
      <c r="QLW488" s="4"/>
      <c r="QLX488" s="4"/>
      <c r="QLY488" s="4"/>
      <c r="QLZ488" s="4"/>
      <c r="QMA488" s="4"/>
      <c r="QMB488" s="4"/>
      <c r="QMC488" s="4"/>
      <c r="QMD488" s="4"/>
      <c r="QME488" s="4"/>
      <c r="QMF488" s="4"/>
      <c r="QMG488" s="4"/>
      <c r="QMH488" s="4"/>
      <c r="QMI488" s="4"/>
      <c r="QMJ488" s="4"/>
      <c r="QMK488" s="4"/>
      <c r="QML488" s="4"/>
      <c r="QMM488" s="4"/>
      <c r="QMN488" s="4"/>
      <c r="QMO488" s="4"/>
      <c r="QMP488" s="4"/>
      <c r="QMQ488" s="4"/>
      <c r="QMR488" s="4"/>
      <c r="QMS488" s="4"/>
      <c r="QMT488" s="4"/>
      <c r="QMU488" s="4"/>
      <c r="QMV488" s="4"/>
      <c r="QMW488" s="4"/>
      <c r="QMX488" s="4"/>
      <c r="QMY488" s="4"/>
      <c r="QMZ488" s="4"/>
      <c r="QNA488" s="4"/>
      <c r="QNB488" s="4"/>
      <c r="QNC488" s="4"/>
      <c r="QND488" s="4"/>
      <c r="QNE488" s="4"/>
      <c r="QNF488" s="4"/>
      <c r="QNG488" s="4"/>
      <c r="QNH488" s="4"/>
      <c r="QNI488" s="4"/>
      <c r="QNJ488" s="4"/>
      <c r="QNK488" s="4"/>
      <c r="QNL488" s="4"/>
      <c r="QNM488" s="4"/>
      <c r="QNN488" s="4"/>
      <c r="QNO488" s="4"/>
      <c r="QNP488" s="4"/>
      <c r="QNQ488" s="4"/>
      <c r="QNR488" s="4"/>
      <c r="QNS488" s="4"/>
      <c r="QNT488" s="4"/>
      <c r="QNU488" s="4"/>
      <c r="QNV488" s="4"/>
      <c r="QNW488" s="4"/>
      <c r="QNX488" s="4"/>
      <c r="QNY488" s="4"/>
      <c r="QNZ488" s="4"/>
      <c r="QOA488" s="4"/>
      <c r="QOB488" s="4"/>
      <c r="QOC488" s="4"/>
      <c r="QOD488" s="4"/>
      <c r="QOE488" s="4"/>
      <c r="QOF488" s="4"/>
      <c r="QOG488" s="4"/>
      <c r="QOH488" s="4"/>
      <c r="QOI488" s="4"/>
      <c r="QOJ488" s="4"/>
      <c r="QOK488" s="4"/>
      <c r="QOL488" s="4"/>
      <c r="QOM488" s="4"/>
      <c r="QON488" s="4"/>
      <c r="QOO488" s="4"/>
      <c r="QOP488" s="4"/>
      <c r="QOQ488" s="4"/>
      <c r="QOR488" s="4"/>
      <c r="QOS488" s="4"/>
      <c r="QOT488" s="4"/>
      <c r="QOU488" s="4"/>
      <c r="QOV488" s="4"/>
      <c r="QOW488" s="4"/>
      <c r="QOX488" s="4"/>
      <c r="QOY488" s="4"/>
      <c r="QOZ488" s="4"/>
      <c r="QPA488" s="4"/>
      <c r="QPB488" s="4"/>
      <c r="QPC488" s="4"/>
      <c r="QPD488" s="4"/>
      <c r="QPE488" s="4"/>
      <c r="QPF488" s="4"/>
      <c r="QPG488" s="4"/>
      <c r="QPH488" s="4"/>
      <c r="QPI488" s="4"/>
      <c r="QPJ488" s="4"/>
      <c r="QPK488" s="4"/>
      <c r="QPL488" s="4"/>
      <c r="QPM488" s="4"/>
      <c r="QPN488" s="4"/>
      <c r="QPO488" s="4"/>
      <c r="QPP488" s="4"/>
      <c r="QPQ488" s="4"/>
      <c r="QPR488" s="4"/>
      <c r="QPS488" s="4"/>
      <c r="QPT488" s="4"/>
      <c r="QPU488" s="4"/>
      <c r="QPV488" s="4"/>
      <c r="QPW488" s="4"/>
      <c r="QPX488" s="4"/>
      <c r="QPY488" s="4"/>
      <c r="QPZ488" s="4"/>
      <c r="QQA488" s="4"/>
      <c r="QQB488" s="4"/>
      <c r="QQC488" s="4"/>
      <c r="QQD488" s="4"/>
      <c r="QQE488" s="4"/>
      <c r="QQF488" s="4"/>
      <c r="QQG488" s="4"/>
      <c r="QQH488" s="4"/>
      <c r="QQI488" s="4"/>
      <c r="QQJ488" s="4"/>
      <c r="QQK488" s="4"/>
      <c r="QQL488" s="4"/>
      <c r="QQM488" s="4"/>
      <c r="QQN488" s="4"/>
      <c r="QQO488" s="4"/>
      <c r="QQP488" s="4"/>
      <c r="QQQ488" s="4"/>
      <c r="QQR488" s="4"/>
      <c r="QQS488" s="4"/>
      <c r="QQT488" s="4"/>
      <c r="QQU488" s="4"/>
      <c r="QQV488" s="4"/>
      <c r="QQW488" s="4"/>
      <c r="QQX488" s="4"/>
      <c r="QQY488" s="4"/>
      <c r="QQZ488" s="4"/>
      <c r="QRA488" s="4"/>
      <c r="QRB488" s="4"/>
      <c r="QRC488" s="4"/>
      <c r="QRD488" s="4"/>
      <c r="QRE488" s="4"/>
      <c r="QRF488" s="4"/>
      <c r="QRG488" s="4"/>
      <c r="QRH488" s="4"/>
      <c r="QRI488" s="4"/>
      <c r="QRJ488" s="4"/>
      <c r="QRK488" s="4"/>
      <c r="QRL488" s="4"/>
      <c r="QRM488" s="4"/>
      <c r="QRN488" s="4"/>
      <c r="QRO488" s="4"/>
      <c r="QRP488" s="4"/>
      <c r="QRQ488" s="4"/>
      <c r="QRR488" s="4"/>
      <c r="QRS488" s="4"/>
      <c r="QRT488" s="4"/>
      <c r="QRU488" s="4"/>
      <c r="QRV488" s="4"/>
      <c r="QRW488" s="4"/>
      <c r="QRX488" s="4"/>
      <c r="QRY488" s="4"/>
      <c r="QRZ488" s="4"/>
      <c r="QSA488" s="4"/>
      <c r="QSB488" s="4"/>
      <c r="QSC488" s="4"/>
      <c r="QSD488" s="4"/>
      <c r="QSE488" s="4"/>
      <c r="QSF488" s="4"/>
      <c r="QSG488" s="4"/>
      <c r="QSH488" s="4"/>
      <c r="QSI488" s="4"/>
      <c r="QSJ488" s="4"/>
      <c r="QSK488" s="4"/>
      <c r="QSL488" s="4"/>
      <c r="QSM488" s="4"/>
      <c r="QSN488" s="4"/>
      <c r="QSO488" s="4"/>
      <c r="QSP488" s="4"/>
      <c r="QSQ488" s="4"/>
      <c r="QSR488" s="4"/>
      <c r="QSS488" s="4"/>
      <c r="QST488" s="4"/>
      <c r="QSU488" s="4"/>
      <c r="QSV488" s="4"/>
      <c r="QSW488" s="4"/>
      <c r="QSX488" s="4"/>
      <c r="QSY488" s="4"/>
      <c r="QSZ488" s="4"/>
      <c r="QTA488" s="4"/>
      <c r="QTB488" s="4"/>
      <c r="QTC488" s="4"/>
      <c r="QTD488" s="4"/>
      <c r="QTE488" s="4"/>
      <c r="QTF488" s="4"/>
      <c r="QTG488" s="4"/>
      <c r="QTH488" s="4"/>
      <c r="QTI488" s="4"/>
      <c r="QTJ488" s="4"/>
      <c r="QTK488" s="4"/>
      <c r="QTL488" s="4"/>
      <c r="QTM488" s="4"/>
      <c r="QTN488" s="4"/>
      <c r="QTO488" s="4"/>
      <c r="QTP488" s="4"/>
      <c r="QTQ488" s="4"/>
      <c r="QTR488" s="4"/>
      <c r="QTS488" s="4"/>
      <c r="QTT488" s="4"/>
      <c r="QTU488" s="4"/>
      <c r="QTV488" s="4"/>
      <c r="QTW488" s="4"/>
      <c r="QTX488" s="4"/>
      <c r="QTY488" s="4"/>
      <c r="QTZ488" s="4"/>
      <c r="QUA488" s="4"/>
      <c r="QUB488" s="4"/>
      <c r="QUC488" s="4"/>
      <c r="QUD488" s="4"/>
      <c r="QUE488" s="4"/>
      <c r="QUF488" s="4"/>
      <c r="QUG488" s="4"/>
      <c r="QUH488" s="4"/>
      <c r="QUI488" s="4"/>
      <c r="QUJ488" s="4"/>
      <c r="QUK488" s="4"/>
      <c r="QUL488" s="4"/>
      <c r="QUM488" s="4"/>
      <c r="QUN488" s="4"/>
      <c r="QUO488" s="4"/>
      <c r="QUP488" s="4"/>
      <c r="QUQ488" s="4"/>
      <c r="QUR488" s="4"/>
      <c r="QUS488" s="4"/>
      <c r="QUT488" s="4"/>
      <c r="QUU488" s="4"/>
      <c r="QUV488" s="4"/>
      <c r="QUW488" s="4"/>
      <c r="QUX488" s="4"/>
      <c r="QUY488" s="4"/>
      <c r="QUZ488" s="4"/>
      <c r="QVA488" s="4"/>
      <c r="QVB488" s="4"/>
      <c r="QVC488" s="4"/>
      <c r="QVD488" s="4"/>
      <c r="QVE488" s="4"/>
      <c r="QVF488" s="4"/>
      <c r="QVG488" s="4"/>
      <c r="QVH488" s="4"/>
      <c r="QVI488" s="4"/>
      <c r="QVJ488" s="4"/>
      <c r="QVK488" s="4"/>
      <c r="QVL488" s="4"/>
      <c r="QVM488" s="4"/>
      <c r="QVN488" s="4"/>
      <c r="QVO488" s="4"/>
      <c r="QVP488" s="4"/>
      <c r="QVQ488" s="4"/>
      <c r="QVR488" s="4"/>
      <c r="QVS488" s="4"/>
      <c r="QVT488" s="4"/>
      <c r="QVU488" s="4"/>
      <c r="QVV488" s="4"/>
      <c r="QVW488" s="4"/>
      <c r="QVX488" s="4"/>
      <c r="QVY488" s="4"/>
      <c r="QVZ488" s="4"/>
      <c r="QWA488" s="4"/>
      <c r="QWB488" s="4"/>
      <c r="QWC488" s="4"/>
      <c r="QWD488" s="4"/>
      <c r="QWE488" s="4"/>
      <c r="QWF488" s="4"/>
      <c r="QWG488" s="4"/>
      <c r="QWH488" s="4"/>
      <c r="QWI488" s="4"/>
      <c r="QWJ488" s="4"/>
      <c r="QWK488" s="4"/>
      <c r="QWL488" s="4"/>
      <c r="QWM488" s="4"/>
      <c r="QWN488" s="4"/>
      <c r="QWO488" s="4"/>
      <c r="QWP488" s="4"/>
      <c r="QWQ488" s="4"/>
      <c r="QWR488" s="4"/>
      <c r="QWS488" s="4"/>
      <c r="QWT488" s="4"/>
      <c r="QWU488" s="4"/>
      <c r="QWV488" s="4"/>
      <c r="QWW488" s="4"/>
      <c r="QWX488" s="4"/>
      <c r="QWY488" s="4"/>
      <c r="QWZ488" s="4"/>
      <c r="QXA488" s="4"/>
      <c r="QXB488" s="4"/>
      <c r="QXC488" s="4"/>
      <c r="QXD488" s="4"/>
      <c r="QXE488" s="4"/>
      <c r="QXF488" s="4"/>
      <c r="QXG488" s="4"/>
      <c r="QXH488" s="4"/>
      <c r="QXI488" s="4"/>
      <c r="QXJ488" s="4"/>
      <c r="QXK488" s="4"/>
      <c r="QXL488" s="4"/>
      <c r="QXM488" s="4"/>
      <c r="QXN488" s="4"/>
      <c r="QXO488" s="4"/>
      <c r="QXP488" s="4"/>
      <c r="QXQ488" s="4"/>
      <c r="QXR488" s="4"/>
      <c r="QXS488" s="4"/>
      <c r="QXT488" s="4"/>
      <c r="QXU488" s="4"/>
      <c r="QXV488" s="4"/>
      <c r="QXW488" s="4"/>
      <c r="QXX488" s="4"/>
      <c r="QXY488" s="4"/>
      <c r="QXZ488" s="4"/>
      <c r="QYA488" s="4"/>
      <c r="QYB488" s="4"/>
      <c r="QYC488" s="4"/>
      <c r="QYD488" s="4"/>
      <c r="QYE488" s="4"/>
      <c r="QYF488" s="4"/>
      <c r="QYG488" s="4"/>
      <c r="QYH488" s="4"/>
      <c r="QYI488" s="4"/>
      <c r="QYJ488" s="4"/>
      <c r="QYK488" s="4"/>
      <c r="QYL488" s="4"/>
      <c r="QYM488" s="4"/>
      <c r="QYN488" s="4"/>
      <c r="QYO488" s="4"/>
      <c r="QYP488" s="4"/>
      <c r="QYQ488" s="4"/>
      <c r="QYR488" s="4"/>
      <c r="QYS488" s="4"/>
      <c r="QYT488" s="4"/>
      <c r="QYU488" s="4"/>
      <c r="QYV488" s="4"/>
      <c r="QYW488" s="4"/>
      <c r="QYX488" s="4"/>
      <c r="QYY488" s="4"/>
      <c r="QYZ488" s="4"/>
      <c r="QZA488" s="4"/>
      <c r="QZB488" s="4"/>
      <c r="QZC488" s="4"/>
      <c r="QZD488" s="4"/>
      <c r="QZE488" s="4"/>
      <c r="QZF488" s="4"/>
      <c r="QZG488" s="4"/>
      <c r="QZH488" s="4"/>
      <c r="QZI488" s="4"/>
      <c r="QZJ488" s="4"/>
      <c r="QZK488" s="4"/>
      <c r="QZL488" s="4"/>
      <c r="QZM488" s="4"/>
      <c r="QZN488" s="4"/>
      <c r="QZO488" s="4"/>
      <c r="QZP488" s="4"/>
      <c r="QZQ488" s="4"/>
      <c r="QZR488" s="4"/>
      <c r="QZS488" s="4"/>
      <c r="QZT488" s="4"/>
      <c r="QZU488" s="4"/>
      <c r="QZV488" s="4"/>
      <c r="QZW488" s="4"/>
      <c r="QZX488" s="4"/>
      <c r="QZY488" s="4"/>
      <c r="QZZ488" s="4"/>
      <c r="RAA488" s="4"/>
      <c r="RAB488" s="4"/>
      <c r="RAC488" s="4"/>
      <c r="RAD488" s="4"/>
      <c r="RAE488" s="4"/>
      <c r="RAF488" s="4"/>
      <c r="RAG488" s="4"/>
      <c r="RAH488" s="4"/>
      <c r="RAI488" s="4"/>
      <c r="RAJ488" s="4"/>
      <c r="RAK488" s="4"/>
      <c r="RAL488" s="4"/>
      <c r="RAM488" s="4"/>
      <c r="RAN488" s="4"/>
      <c r="RAO488" s="4"/>
      <c r="RAP488" s="4"/>
      <c r="RAQ488" s="4"/>
      <c r="RAR488" s="4"/>
      <c r="RAS488" s="4"/>
      <c r="RAT488" s="4"/>
      <c r="RAU488" s="4"/>
      <c r="RAV488" s="4"/>
      <c r="RAW488" s="4"/>
      <c r="RAX488" s="4"/>
      <c r="RAY488" s="4"/>
      <c r="RAZ488" s="4"/>
      <c r="RBA488" s="4"/>
      <c r="RBB488" s="4"/>
      <c r="RBC488" s="4"/>
      <c r="RBD488" s="4"/>
      <c r="RBE488" s="4"/>
      <c r="RBF488" s="4"/>
      <c r="RBG488" s="4"/>
      <c r="RBH488" s="4"/>
      <c r="RBI488" s="4"/>
      <c r="RBJ488" s="4"/>
      <c r="RBK488" s="4"/>
      <c r="RBL488" s="4"/>
      <c r="RBM488" s="4"/>
      <c r="RBN488" s="4"/>
      <c r="RBO488" s="4"/>
      <c r="RBP488" s="4"/>
      <c r="RBQ488" s="4"/>
      <c r="RBR488" s="4"/>
      <c r="RBS488" s="4"/>
      <c r="RBT488" s="4"/>
      <c r="RBU488" s="4"/>
      <c r="RBV488" s="4"/>
      <c r="RBW488" s="4"/>
      <c r="RBX488" s="4"/>
      <c r="RBY488" s="4"/>
      <c r="RBZ488" s="4"/>
      <c r="RCA488" s="4"/>
      <c r="RCB488" s="4"/>
      <c r="RCC488" s="4"/>
      <c r="RCD488" s="4"/>
      <c r="RCE488" s="4"/>
      <c r="RCF488" s="4"/>
      <c r="RCG488" s="4"/>
      <c r="RCH488" s="4"/>
      <c r="RCI488" s="4"/>
      <c r="RCJ488" s="4"/>
      <c r="RCK488" s="4"/>
      <c r="RCL488" s="4"/>
      <c r="RCM488" s="4"/>
      <c r="RCN488" s="4"/>
      <c r="RCO488" s="4"/>
      <c r="RCP488" s="4"/>
      <c r="RCQ488" s="4"/>
      <c r="RCR488" s="4"/>
      <c r="RCS488" s="4"/>
      <c r="RCT488" s="4"/>
      <c r="RCU488" s="4"/>
      <c r="RCV488" s="4"/>
      <c r="RCW488" s="4"/>
      <c r="RCX488" s="4"/>
      <c r="RCY488" s="4"/>
      <c r="RCZ488" s="4"/>
      <c r="RDA488" s="4"/>
      <c r="RDB488" s="4"/>
      <c r="RDC488" s="4"/>
      <c r="RDD488" s="4"/>
      <c r="RDE488" s="4"/>
      <c r="RDF488" s="4"/>
      <c r="RDG488" s="4"/>
      <c r="RDH488" s="4"/>
      <c r="RDI488" s="4"/>
      <c r="RDJ488" s="4"/>
      <c r="RDK488" s="4"/>
      <c r="RDL488" s="4"/>
      <c r="RDM488" s="4"/>
      <c r="RDN488" s="4"/>
      <c r="RDO488" s="4"/>
      <c r="RDP488" s="4"/>
      <c r="RDQ488" s="4"/>
      <c r="RDR488" s="4"/>
      <c r="RDS488" s="4"/>
      <c r="RDT488" s="4"/>
      <c r="RDU488" s="4"/>
      <c r="RDV488" s="4"/>
      <c r="RDW488" s="4"/>
      <c r="RDX488" s="4"/>
      <c r="RDY488" s="4"/>
      <c r="RDZ488" s="4"/>
      <c r="REA488" s="4"/>
      <c r="REB488" s="4"/>
      <c r="REC488" s="4"/>
      <c r="RED488" s="4"/>
      <c r="REE488" s="4"/>
      <c r="REF488" s="4"/>
      <c r="REG488" s="4"/>
      <c r="REH488" s="4"/>
      <c r="REI488" s="4"/>
      <c r="REJ488" s="4"/>
      <c r="REK488" s="4"/>
      <c r="REL488" s="4"/>
      <c r="REM488" s="4"/>
      <c r="REN488" s="4"/>
      <c r="REO488" s="4"/>
      <c r="REP488" s="4"/>
      <c r="REQ488" s="4"/>
      <c r="RER488" s="4"/>
      <c r="RES488" s="4"/>
      <c r="RET488" s="4"/>
      <c r="REU488" s="4"/>
      <c r="REV488" s="4"/>
      <c r="REW488" s="4"/>
      <c r="REX488" s="4"/>
      <c r="REY488" s="4"/>
      <c r="REZ488" s="4"/>
      <c r="RFA488" s="4"/>
      <c r="RFB488" s="4"/>
      <c r="RFC488" s="4"/>
      <c r="RFD488" s="4"/>
      <c r="RFE488" s="4"/>
      <c r="RFF488" s="4"/>
      <c r="RFG488" s="4"/>
      <c r="RFH488" s="4"/>
      <c r="RFI488" s="4"/>
      <c r="RFJ488" s="4"/>
      <c r="RFK488" s="4"/>
      <c r="RFL488" s="4"/>
      <c r="RFM488" s="4"/>
      <c r="RFN488" s="4"/>
      <c r="RFO488" s="4"/>
      <c r="RFP488" s="4"/>
      <c r="RFQ488" s="4"/>
      <c r="RFR488" s="4"/>
      <c r="RFS488" s="4"/>
      <c r="RFT488" s="4"/>
      <c r="RFU488" s="4"/>
      <c r="RFV488" s="4"/>
      <c r="RFW488" s="4"/>
      <c r="RFX488" s="4"/>
      <c r="RFY488" s="4"/>
      <c r="RFZ488" s="4"/>
      <c r="RGA488" s="4"/>
      <c r="RGB488" s="4"/>
      <c r="RGC488" s="4"/>
      <c r="RGD488" s="4"/>
      <c r="RGE488" s="4"/>
      <c r="RGF488" s="4"/>
      <c r="RGG488" s="4"/>
      <c r="RGH488" s="4"/>
      <c r="RGI488" s="4"/>
      <c r="RGJ488" s="4"/>
      <c r="RGK488" s="4"/>
      <c r="RGL488" s="4"/>
      <c r="RGM488" s="4"/>
      <c r="RGN488" s="4"/>
      <c r="RGO488" s="4"/>
      <c r="RGP488" s="4"/>
      <c r="RGQ488" s="4"/>
      <c r="RGR488" s="4"/>
      <c r="RGS488" s="4"/>
      <c r="RGT488" s="4"/>
      <c r="RGU488" s="4"/>
      <c r="RGV488" s="4"/>
      <c r="RGW488" s="4"/>
      <c r="RGX488" s="4"/>
      <c r="RGY488" s="4"/>
      <c r="RGZ488" s="4"/>
      <c r="RHA488" s="4"/>
      <c r="RHB488" s="4"/>
      <c r="RHC488" s="4"/>
      <c r="RHD488" s="4"/>
      <c r="RHE488" s="4"/>
      <c r="RHF488" s="4"/>
      <c r="RHG488" s="4"/>
      <c r="RHH488" s="4"/>
      <c r="RHI488" s="4"/>
      <c r="RHJ488" s="4"/>
      <c r="RHK488" s="4"/>
      <c r="RHL488" s="4"/>
      <c r="RHM488" s="4"/>
      <c r="RHN488" s="4"/>
      <c r="RHO488" s="4"/>
      <c r="RHP488" s="4"/>
      <c r="RHQ488" s="4"/>
      <c r="RHR488" s="4"/>
      <c r="RHS488" s="4"/>
      <c r="RHT488" s="4"/>
      <c r="RHU488" s="4"/>
      <c r="RHV488" s="4"/>
      <c r="RHW488" s="4"/>
      <c r="RHX488" s="4"/>
      <c r="RHY488" s="4"/>
      <c r="RHZ488" s="4"/>
      <c r="RIA488" s="4"/>
      <c r="RIB488" s="4"/>
      <c r="RIC488" s="4"/>
      <c r="RID488" s="4"/>
      <c r="RIE488" s="4"/>
      <c r="RIF488" s="4"/>
      <c r="RIG488" s="4"/>
      <c r="RIH488" s="4"/>
      <c r="RII488" s="4"/>
      <c r="RIJ488" s="4"/>
      <c r="RIK488" s="4"/>
      <c r="RIL488" s="4"/>
      <c r="RIM488" s="4"/>
      <c r="RIN488" s="4"/>
      <c r="RIO488" s="4"/>
      <c r="RIP488" s="4"/>
      <c r="RIQ488" s="4"/>
      <c r="RIR488" s="4"/>
      <c r="RIS488" s="4"/>
      <c r="RIT488" s="4"/>
      <c r="RIU488" s="4"/>
      <c r="RIV488" s="4"/>
      <c r="RIW488" s="4"/>
      <c r="RIX488" s="4"/>
      <c r="RIY488" s="4"/>
      <c r="RIZ488" s="4"/>
      <c r="RJA488" s="4"/>
      <c r="RJB488" s="4"/>
      <c r="RJC488" s="4"/>
      <c r="RJD488" s="4"/>
      <c r="RJE488" s="4"/>
      <c r="RJF488" s="4"/>
      <c r="RJG488" s="4"/>
      <c r="RJH488" s="4"/>
      <c r="RJI488" s="4"/>
      <c r="RJJ488" s="4"/>
      <c r="RJK488" s="4"/>
      <c r="RJL488" s="4"/>
      <c r="RJM488" s="4"/>
      <c r="RJN488" s="4"/>
      <c r="RJO488" s="4"/>
      <c r="RJP488" s="4"/>
      <c r="RJQ488" s="4"/>
      <c r="RJR488" s="4"/>
      <c r="RJS488" s="4"/>
      <c r="RJT488" s="4"/>
      <c r="RJU488" s="4"/>
      <c r="RJV488" s="4"/>
      <c r="RJW488" s="4"/>
      <c r="RJX488" s="4"/>
      <c r="RJY488" s="4"/>
      <c r="RJZ488" s="4"/>
      <c r="RKA488" s="4"/>
      <c r="RKB488" s="4"/>
      <c r="RKC488" s="4"/>
      <c r="RKD488" s="4"/>
      <c r="RKE488" s="4"/>
      <c r="RKF488" s="4"/>
      <c r="RKG488" s="4"/>
      <c r="RKH488" s="4"/>
      <c r="RKI488" s="4"/>
      <c r="RKJ488" s="4"/>
      <c r="RKK488" s="4"/>
      <c r="RKL488" s="4"/>
      <c r="RKM488" s="4"/>
      <c r="RKN488" s="4"/>
      <c r="RKO488" s="4"/>
      <c r="RKP488" s="4"/>
      <c r="RKQ488" s="4"/>
      <c r="RKR488" s="4"/>
      <c r="RKS488" s="4"/>
      <c r="RKT488" s="4"/>
      <c r="RKU488" s="4"/>
      <c r="RKV488" s="4"/>
      <c r="RKW488" s="4"/>
      <c r="RKX488" s="4"/>
      <c r="RKY488" s="4"/>
      <c r="RKZ488" s="4"/>
      <c r="RLA488" s="4"/>
      <c r="RLB488" s="4"/>
      <c r="RLC488" s="4"/>
      <c r="RLD488" s="4"/>
      <c r="RLE488" s="4"/>
      <c r="RLF488" s="4"/>
      <c r="RLG488" s="4"/>
      <c r="RLH488" s="4"/>
      <c r="RLI488" s="4"/>
      <c r="RLJ488" s="4"/>
      <c r="RLK488" s="4"/>
      <c r="RLL488" s="4"/>
      <c r="RLM488" s="4"/>
      <c r="RLN488" s="4"/>
      <c r="RLO488" s="4"/>
      <c r="RLP488" s="4"/>
      <c r="RLQ488" s="4"/>
      <c r="RLR488" s="4"/>
      <c r="RLS488" s="4"/>
      <c r="RLT488" s="4"/>
      <c r="RLU488" s="4"/>
      <c r="RLV488" s="4"/>
      <c r="RLW488" s="4"/>
      <c r="RLX488" s="4"/>
      <c r="RLY488" s="4"/>
      <c r="RLZ488" s="4"/>
      <c r="RMA488" s="4"/>
      <c r="RMB488" s="4"/>
      <c r="RMC488" s="4"/>
      <c r="RMD488" s="4"/>
      <c r="RME488" s="4"/>
      <c r="RMF488" s="4"/>
      <c r="RMG488" s="4"/>
      <c r="RMH488" s="4"/>
      <c r="RMI488" s="4"/>
      <c r="RMJ488" s="4"/>
      <c r="RMK488" s="4"/>
      <c r="RML488" s="4"/>
      <c r="RMM488" s="4"/>
      <c r="RMN488" s="4"/>
      <c r="RMO488" s="4"/>
      <c r="RMP488" s="4"/>
      <c r="RMQ488" s="4"/>
      <c r="RMR488" s="4"/>
      <c r="RMS488" s="4"/>
      <c r="RMT488" s="4"/>
      <c r="RMU488" s="4"/>
      <c r="RMV488" s="4"/>
      <c r="RMW488" s="4"/>
      <c r="RMX488" s="4"/>
      <c r="RMY488" s="4"/>
      <c r="RMZ488" s="4"/>
      <c r="RNA488" s="4"/>
      <c r="RNB488" s="4"/>
      <c r="RNC488" s="4"/>
      <c r="RND488" s="4"/>
      <c r="RNE488" s="4"/>
      <c r="RNF488" s="4"/>
      <c r="RNG488" s="4"/>
      <c r="RNH488" s="4"/>
      <c r="RNI488" s="4"/>
      <c r="RNJ488" s="4"/>
      <c r="RNK488" s="4"/>
      <c r="RNL488" s="4"/>
      <c r="RNM488" s="4"/>
      <c r="RNN488" s="4"/>
      <c r="RNO488" s="4"/>
      <c r="RNP488" s="4"/>
      <c r="RNQ488" s="4"/>
      <c r="RNR488" s="4"/>
      <c r="RNS488" s="4"/>
      <c r="RNT488" s="4"/>
      <c r="RNU488" s="4"/>
      <c r="RNV488" s="4"/>
      <c r="RNW488" s="4"/>
      <c r="RNX488" s="4"/>
      <c r="RNY488" s="4"/>
      <c r="RNZ488" s="4"/>
      <c r="ROA488" s="4"/>
      <c r="ROB488" s="4"/>
      <c r="ROC488" s="4"/>
      <c r="ROD488" s="4"/>
      <c r="ROE488" s="4"/>
      <c r="ROF488" s="4"/>
      <c r="ROG488" s="4"/>
      <c r="ROH488" s="4"/>
      <c r="ROI488" s="4"/>
      <c r="ROJ488" s="4"/>
      <c r="ROK488" s="4"/>
      <c r="ROL488" s="4"/>
      <c r="ROM488" s="4"/>
      <c r="RON488" s="4"/>
      <c r="ROO488" s="4"/>
      <c r="ROP488" s="4"/>
      <c r="ROQ488" s="4"/>
      <c r="ROR488" s="4"/>
      <c r="ROS488" s="4"/>
      <c r="ROT488" s="4"/>
      <c r="ROU488" s="4"/>
      <c r="ROV488" s="4"/>
      <c r="ROW488" s="4"/>
      <c r="ROX488" s="4"/>
      <c r="ROY488" s="4"/>
      <c r="ROZ488" s="4"/>
      <c r="RPA488" s="4"/>
      <c r="RPB488" s="4"/>
      <c r="RPC488" s="4"/>
      <c r="RPD488" s="4"/>
      <c r="RPE488" s="4"/>
      <c r="RPF488" s="4"/>
      <c r="RPG488" s="4"/>
      <c r="RPH488" s="4"/>
      <c r="RPI488" s="4"/>
      <c r="RPJ488" s="4"/>
      <c r="RPK488" s="4"/>
      <c r="RPL488" s="4"/>
      <c r="RPM488" s="4"/>
      <c r="RPN488" s="4"/>
      <c r="RPO488" s="4"/>
      <c r="RPP488" s="4"/>
      <c r="RPQ488" s="4"/>
      <c r="RPR488" s="4"/>
      <c r="RPS488" s="4"/>
      <c r="RPT488" s="4"/>
      <c r="RPU488" s="4"/>
      <c r="RPV488" s="4"/>
      <c r="RPW488" s="4"/>
      <c r="RPX488" s="4"/>
      <c r="RPY488" s="4"/>
      <c r="RPZ488" s="4"/>
      <c r="RQA488" s="4"/>
      <c r="RQB488" s="4"/>
      <c r="RQC488" s="4"/>
      <c r="RQD488" s="4"/>
      <c r="RQE488" s="4"/>
      <c r="RQF488" s="4"/>
      <c r="RQG488" s="4"/>
      <c r="RQH488" s="4"/>
      <c r="RQI488" s="4"/>
      <c r="RQJ488" s="4"/>
      <c r="RQK488" s="4"/>
      <c r="RQL488" s="4"/>
      <c r="RQM488" s="4"/>
      <c r="RQN488" s="4"/>
      <c r="RQO488" s="4"/>
      <c r="RQP488" s="4"/>
      <c r="RQQ488" s="4"/>
      <c r="RQR488" s="4"/>
      <c r="RQS488" s="4"/>
      <c r="RQT488" s="4"/>
      <c r="RQU488" s="4"/>
      <c r="RQV488" s="4"/>
      <c r="RQW488" s="4"/>
      <c r="RQX488" s="4"/>
      <c r="RQY488" s="4"/>
      <c r="RQZ488" s="4"/>
      <c r="RRA488" s="4"/>
      <c r="RRB488" s="4"/>
      <c r="RRC488" s="4"/>
      <c r="RRD488" s="4"/>
      <c r="RRE488" s="4"/>
      <c r="RRF488" s="4"/>
      <c r="RRG488" s="4"/>
      <c r="RRH488" s="4"/>
      <c r="RRI488" s="4"/>
      <c r="RRJ488" s="4"/>
      <c r="RRK488" s="4"/>
      <c r="RRL488" s="4"/>
      <c r="RRM488" s="4"/>
      <c r="RRN488" s="4"/>
      <c r="RRO488" s="4"/>
      <c r="RRP488" s="4"/>
      <c r="RRQ488" s="4"/>
      <c r="RRR488" s="4"/>
      <c r="RRS488" s="4"/>
      <c r="RRT488" s="4"/>
      <c r="RRU488" s="4"/>
      <c r="RRV488" s="4"/>
      <c r="RRW488" s="4"/>
      <c r="RRX488" s="4"/>
      <c r="RRY488" s="4"/>
      <c r="RRZ488" s="4"/>
      <c r="RSA488" s="4"/>
      <c r="RSB488" s="4"/>
      <c r="RSC488" s="4"/>
      <c r="RSD488" s="4"/>
      <c r="RSE488" s="4"/>
      <c r="RSF488" s="4"/>
      <c r="RSG488" s="4"/>
      <c r="RSH488" s="4"/>
      <c r="RSI488" s="4"/>
      <c r="RSJ488" s="4"/>
      <c r="RSK488" s="4"/>
      <c r="RSL488" s="4"/>
      <c r="RSM488" s="4"/>
      <c r="RSN488" s="4"/>
      <c r="RSO488" s="4"/>
      <c r="RSP488" s="4"/>
      <c r="RSQ488" s="4"/>
      <c r="RSR488" s="4"/>
      <c r="RSS488" s="4"/>
      <c r="RST488" s="4"/>
      <c r="RSU488" s="4"/>
      <c r="RSV488" s="4"/>
      <c r="RSW488" s="4"/>
      <c r="RSX488" s="4"/>
      <c r="RSY488" s="4"/>
      <c r="RSZ488" s="4"/>
      <c r="RTA488" s="4"/>
      <c r="RTB488" s="4"/>
      <c r="RTC488" s="4"/>
      <c r="RTD488" s="4"/>
      <c r="RTE488" s="4"/>
      <c r="RTF488" s="4"/>
      <c r="RTG488" s="4"/>
      <c r="RTH488" s="4"/>
      <c r="RTI488" s="4"/>
      <c r="RTJ488" s="4"/>
      <c r="RTK488" s="4"/>
      <c r="RTL488" s="4"/>
      <c r="RTM488" s="4"/>
      <c r="RTN488" s="4"/>
      <c r="RTO488" s="4"/>
      <c r="RTP488" s="4"/>
      <c r="RTQ488" s="4"/>
      <c r="RTR488" s="4"/>
      <c r="RTS488" s="4"/>
      <c r="RTT488" s="4"/>
      <c r="RTU488" s="4"/>
      <c r="RTV488" s="4"/>
      <c r="RTW488" s="4"/>
      <c r="RTX488" s="4"/>
      <c r="RTY488" s="4"/>
      <c r="RTZ488" s="4"/>
      <c r="RUA488" s="4"/>
      <c r="RUB488" s="4"/>
      <c r="RUC488" s="4"/>
      <c r="RUD488" s="4"/>
      <c r="RUE488" s="4"/>
      <c r="RUF488" s="4"/>
      <c r="RUG488" s="4"/>
      <c r="RUH488" s="4"/>
      <c r="RUI488" s="4"/>
      <c r="RUJ488" s="4"/>
      <c r="RUK488" s="4"/>
      <c r="RUL488" s="4"/>
      <c r="RUM488" s="4"/>
      <c r="RUN488" s="4"/>
      <c r="RUO488" s="4"/>
      <c r="RUP488" s="4"/>
      <c r="RUQ488" s="4"/>
      <c r="RUR488" s="4"/>
      <c r="RUS488" s="4"/>
      <c r="RUT488" s="4"/>
      <c r="RUU488" s="4"/>
      <c r="RUV488" s="4"/>
      <c r="RUW488" s="4"/>
      <c r="RUX488" s="4"/>
      <c r="RUY488" s="4"/>
      <c r="RUZ488" s="4"/>
      <c r="RVA488" s="4"/>
      <c r="RVB488" s="4"/>
      <c r="RVC488" s="4"/>
      <c r="RVD488" s="4"/>
      <c r="RVE488" s="4"/>
      <c r="RVF488" s="4"/>
      <c r="RVG488" s="4"/>
      <c r="RVH488" s="4"/>
      <c r="RVI488" s="4"/>
      <c r="RVJ488" s="4"/>
      <c r="RVK488" s="4"/>
      <c r="RVL488" s="4"/>
      <c r="RVM488" s="4"/>
      <c r="RVN488" s="4"/>
      <c r="RVO488" s="4"/>
      <c r="RVP488" s="4"/>
      <c r="RVQ488" s="4"/>
      <c r="RVR488" s="4"/>
      <c r="RVS488" s="4"/>
      <c r="RVT488" s="4"/>
      <c r="RVU488" s="4"/>
      <c r="RVV488" s="4"/>
      <c r="RVW488" s="4"/>
      <c r="RVX488" s="4"/>
      <c r="RVY488" s="4"/>
      <c r="RVZ488" s="4"/>
      <c r="RWA488" s="4"/>
      <c r="RWB488" s="4"/>
      <c r="RWC488" s="4"/>
      <c r="RWD488" s="4"/>
      <c r="RWE488" s="4"/>
      <c r="RWF488" s="4"/>
      <c r="RWG488" s="4"/>
      <c r="RWH488" s="4"/>
      <c r="RWI488" s="4"/>
      <c r="RWJ488" s="4"/>
      <c r="RWK488" s="4"/>
      <c r="RWL488" s="4"/>
      <c r="RWM488" s="4"/>
      <c r="RWN488" s="4"/>
      <c r="RWO488" s="4"/>
      <c r="RWP488" s="4"/>
      <c r="RWQ488" s="4"/>
      <c r="RWR488" s="4"/>
      <c r="RWS488" s="4"/>
      <c r="RWT488" s="4"/>
      <c r="RWU488" s="4"/>
      <c r="RWV488" s="4"/>
      <c r="RWW488" s="4"/>
      <c r="RWX488" s="4"/>
      <c r="RWY488" s="4"/>
      <c r="RWZ488" s="4"/>
      <c r="RXA488" s="4"/>
      <c r="RXB488" s="4"/>
      <c r="RXC488" s="4"/>
      <c r="RXD488" s="4"/>
      <c r="RXE488" s="4"/>
      <c r="RXF488" s="4"/>
      <c r="RXG488" s="4"/>
      <c r="RXH488" s="4"/>
      <c r="RXI488" s="4"/>
      <c r="RXJ488" s="4"/>
      <c r="RXK488" s="4"/>
      <c r="RXL488" s="4"/>
      <c r="RXM488" s="4"/>
      <c r="RXN488" s="4"/>
      <c r="RXO488" s="4"/>
      <c r="RXP488" s="4"/>
      <c r="RXQ488" s="4"/>
      <c r="RXR488" s="4"/>
      <c r="RXS488" s="4"/>
      <c r="RXT488" s="4"/>
      <c r="RXU488" s="4"/>
      <c r="RXV488" s="4"/>
      <c r="RXW488" s="4"/>
      <c r="RXX488" s="4"/>
      <c r="RXY488" s="4"/>
      <c r="RXZ488" s="4"/>
      <c r="RYA488" s="4"/>
      <c r="RYB488" s="4"/>
      <c r="RYC488" s="4"/>
      <c r="RYD488" s="4"/>
      <c r="RYE488" s="4"/>
      <c r="RYF488" s="4"/>
      <c r="RYG488" s="4"/>
      <c r="RYH488" s="4"/>
      <c r="RYI488" s="4"/>
      <c r="RYJ488" s="4"/>
      <c r="RYK488" s="4"/>
      <c r="RYL488" s="4"/>
      <c r="RYM488" s="4"/>
      <c r="RYN488" s="4"/>
      <c r="RYO488" s="4"/>
      <c r="RYP488" s="4"/>
      <c r="RYQ488" s="4"/>
      <c r="RYR488" s="4"/>
      <c r="RYS488" s="4"/>
      <c r="RYT488" s="4"/>
      <c r="RYU488" s="4"/>
      <c r="RYV488" s="4"/>
      <c r="RYW488" s="4"/>
      <c r="RYX488" s="4"/>
      <c r="RYY488" s="4"/>
      <c r="RYZ488" s="4"/>
      <c r="RZA488" s="4"/>
      <c r="RZB488" s="4"/>
      <c r="RZC488" s="4"/>
      <c r="RZD488" s="4"/>
      <c r="RZE488" s="4"/>
      <c r="RZF488" s="4"/>
      <c r="RZG488" s="4"/>
      <c r="RZH488" s="4"/>
      <c r="RZI488" s="4"/>
      <c r="RZJ488" s="4"/>
      <c r="RZK488" s="4"/>
      <c r="RZL488" s="4"/>
      <c r="RZM488" s="4"/>
      <c r="RZN488" s="4"/>
      <c r="RZO488" s="4"/>
      <c r="RZP488" s="4"/>
      <c r="RZQ488" s="4"/>
      <c r="RZR488" s="4"/>
      <c r="RZS488" s="4"/>
      <c r="RZT488" s="4"/>
      <c r="RZU488" s="4"/>
      <c r="RZV488" s="4"/>
      <c r="RZW488" s="4"/>
      <c r="RZX488" s="4"/>
      <c r="RZY488" s="4"/>
      <c r="RZZ488" s="4"/>
      <c r="SAA488" s="4"/>
      <c r="SAB488" s="4"/>
      <c r="SAC488" s="4"/>
      <c r="SAD488" s="4"/>
      <c r="SAE488" s="4"/>
      <c r="SAF488" s="4"/>
      <c r="SAG488" s="4"/>
      <c r="SAH488" s="4"/>
      <c r="SAI488" s="4"/>
      <c r="SAJ488" s="4"/>
      <c r="SAK488" s="4"/>
      <c r="SAL488" s="4"/>
      <c r="SAM488" s="4"/>
      <c r="SAN488" s="4"/>
      <c r="SAO488" s="4"/>
      <c r="SAP488" s="4"/>
      <c r="SAQ488" s="4"/>
      <c r="SAR488" s="4"/>
      <c r="SAS488" s="4"/>
      <c r="SAT488" s="4"/>
      <c r="SAU488" s="4"/>
      <c r="SAV488" s="4"/>
      <c r="SAW488" s="4"/>
      <c r="SAX488" s="4"/>
      <c r="SAY488" s="4"/>
      <c r="SAZ488" s="4"/>
      <c r="SBA488" s="4"/>
      <c r="SBB488" s="4"/>
      <c r="SBC488" s="4"/>
      <c r="SBD488" s="4"/>
      <c r="SBE488" s="4"/>
      <c r="SBF488" s="4"/>
      <c r="SBG488" s="4"/>
      <c r="SBH488" s="4"/>
      <c r="SBI488" s="4"/>
      <c r="SBJ488" s="4"/>
      <c r="SBK488" s="4"/>
      <c r="SBL488" s="4"/>
      <c r="SBM488" s="4"/>
      <c r="SBN488" s="4"/>
      <c r="SBO488" s="4"/>
      <c r="SBP488" s="4"/>
      <c r="SBQ488" s="4"/>
      <c r="SBR488" s="4"/>
      <c r="SBS488" s="4"/>
      <c r="SBT488" s="4"/>
      <c r="SBU488" s="4"/>
      <c r="SBV488" s="4"/>
      <c r="SBW488" s="4"/>
      <c r="SBX488" s="4"/>
      <c r="SBY488" s="4"/>
      <c r="SBZ488" s="4"/>
      <c r="SCA488" s="4"/>
      <c r="SCB488" s="4"/>
      <c r="SCC488" s="4"/>
      <c r="SCD488" s="4"/>
      <c r="SCE488" s="4"/>
      <c r="SCF488" s="4"/>
      <c r="SCG488" s="4"/>
      <c r="SCH488" s="4"/>
      <c r="SCI488" s="4"/>
      <c r="SCJ488" s="4"/>
      <c r="SCK488" s="4"/>
      <c r="SCL488" s="4"/>
      <c r="SCM488" s="4"/>
      <c r="SCN488" s="4"/>
      <c r="SCO488" s="4"/>
      <c r="SCP488" s="4"/>
      <c r="SCQ488" s="4"/>
      <c r="SCR488" s="4"/>
      <c r="SCS488" s="4"/>
      <c r="SCT488" s="4"/>
      <c r="SCU488" s="4"/>
      <c r="SCV488" s="4"/>
      <c r="SCW488" s="4"/>
      <c r="SCX488" s="4"/>
      <c r="SCY488" s="4"/>
      <c r="SCZ488" s="4"/>
      <c r="SDA488" s="4"/>
      <c r="SDB488" s="4"/>
      <c r="SDC488" s="4"/>
      <c r="SDD488" s="4"/>
      <c r="SDE488" s="4"/>
      <c r="SDF488" s="4"/>
      <c r="SDG488" s="4"/>
      <c r="SDH488" s="4"/>
      <c r="SDI488" s="4"/>
      <c r="SDJ488" s="4"/>
      <c r="SDK488" s="4"/>
      <c r="SDL488" s="4"/>
      <c r="SDM488" s="4"/>
      <c r="SDN488" s="4"/>
      <c r="SDO488" s="4"/>
      <c r="SDP488" s="4"/>
      <c r="SDQ488" s="4"/>
      <c r="SDR488" s="4"/>
      <c r="SDS488" s="4"/>
      <c r="SDT488" s="4"/>
      <c r="SDU488" s="4"/>
      <c r="SDV488" s="4"/>
      <c r="SDW488" s="4"/>
      <c r="SDX488" s="4"/>
      <c r="SDY488" s="4"/>
      <c r="SDZ488" s="4"/>
      <c r="SEA488" s="4"/>
      <c r="SEB488" s="4"/>
      <c r="SEC488" s="4"/>
      <c r="SED488" s="4"/>
      <c r="SEE488" s="4"/>
      <c r="SEF488" s="4"/>
      <c r="SEG488" s="4"/>
      <c r="SEH488" s="4"/>
      <c r="SEI488" s="4"/>
      <c r="SEJ488" s="4"/>
      <c r="SEK488" s="4"/>
      <c r="SEL488" s="4"/>
      <c r="SEM488" s="4"/>
      <c r="SEN488" s="4"/>
      <c r="SEO488" s="4"/>
      <c r="SEP488" s="4"/>
      <c r="SEQ488" s="4"/>
      <c r="SER488" s="4"/>
      <c r="SES488" s="4"/>
      <c r="SET488" s="4"/>
      <c r="SEU488" s="4"/>
      <c r="SEV488" s="4"/>
      <c r="SEW488" s="4"/>
      <c r="SEX488" s="4"/>
      <c r="SEY488" s="4"/>
      <c r="SEZ488" s="4"/>
      <c r="SFA488" s="4"/>
      <c r="SFB488" s="4"/>
      <c r="SFC488" s="4"/>
      <c r="SFD488" s="4"/>
      <c r="SFE488" s="4"/>
      <c r="SFF488" s="4"/>
      <c r="SFG488" s="4"/>
      <c r="SFH488" s="4"/>
      <c r="SFI488" s="4"/>
      <c r="SFJ488" s="4"/>
      <c r="SFK488" s="4"/>
      <c r="SFL488" s="4"/>
      <c r="SFM488" s="4"/>
      <c r="SFN488" s="4"/>
      <c r="SFO488" s="4"/>
      <c r="SFP488" s="4"/>
      <c r="SFQ488" s="4"/>
      <c r="SFR488" s="4"/>
      <c r="SFS488" s="4"/>
      <c r="SFT488" s="4"/>
      <c r="SFU488" s="4"/>
      <c r="SFV488" s="4"/>
      <c r="SFW488" s="4"/>
      <c r="SFX488" s="4"/>
      <c r="SFY488" s="4"/>
      <c r="SFZ488" s="4"/>
      <c r="SGA488" s="4"/>
      <c r="SGB488" s="4"/>
      <c r="SGC488" s="4"/>
      <c r="SGD488" s="4"/>
      <c r="SGE488" s="4"/>
      <c r="SGF488" s="4"/>
      <c r="SGG488" s="4"/>
      <c r="SGH488" s="4"/>
      <c r="SGI488" s="4"/>
      <c r="SGJ488" s="4"/>
      <c r="SGK488" s="4"/>
      <c r="SGL488" s="4"/>
      <c r="SGM488" s="4"/>
      <c r="SGN488" s="4"/>
      <c r="SGO488" s="4"/>
      <c r="SGP488" s="4"/>
      <c r="SGQ488" s="4"/>
      <c r="SGR488" s="4"/>
      <c r="SGS488" s="4"/>
      <c r="SGT488" s="4"/>
      <c r="SGU488" s="4"/>
      <c r="SGV488" s="4"/>
      <c r="SGW488" s="4"/>
      <c r="SGX488" s="4"/>
      <c r="SGY488" s="4"/>
      <c r="SGZ488" s="4"/>
      <c r="SHA488" s="4"/>
      <c r="SHB488" s="4"/>
      <c r="SHC488" s="4"/>
      <c r="SHD488" s="4"/>
      <c r="SHE488" s="4"/>
      <c r="SHF488" s="4"/>
      <c r="SHG488" s="4"/>
      <c r="SHH488" s="4"/>
      <c r="SHI488" s="4"/>
      <c r="SHJ488" s="4"/>
      <c r="SHK488" s="4"/>
      <c r="SHL488" s="4"/>
      <c r="SHM488" s="4"/>
      <c r="SHN488" s="4"/>
      <c r="SHO488" s="4"/>
      <c r="SHP488" s="4"/>
      <c r="SHQ488" s="4"/>
      <c r="SHR488" s="4"/>
      <c r="SHS488" s="4"/>
      <c r="SHT488" s="4"/>
      <c r="SHU488" s="4"/>
      <c r="SHV488" s="4"/>
      <c r="SHW488" s="4"/>
      <c r="SHX488" s="4"/>
      <c r="SHY488" s="4"/>
      <c r="SHZ488" s="4"/>
      <c r="SIA488" s="4"/>
      <c r="SIB488" s="4"/>
      <c r="SIC488" s="4"/>
      <c r="SID488" s="4"/>
      <c r="SIE488" s="4"/>
      <c r="SIF488" s="4"/>
      <c r="SIG488" s="4"/>
      <c r="SIH488" s="4"/>
      <c r="SII488" s="4"/>
      <c r="SIJ488" s="4"/>
      <c r="SIK488" s="4"/>
      <c r="SIL488" s="4"/>
      <c r="SIM488" s="4"/>
      <c r="SIN488" s="4"/>
      <c r="SIO488" s="4"/>
      <c r="SIP488" s="4"/>
      <c r="SIQ488" s="4"/>
      <c r="SIR488" s="4"/>
      <c r="SIS488" s="4"/>
      <c r="SIT488" s="4"/>
      <c r="SIU488" s="4"/>
      <c r="SIV488" s="4"/>
      <c r="SIW488" s="4"/>
      <c r="SIX488" s="4"/>
      <c r="SIY488" s="4"/>
      <c r="SIZ488" s="4"/>
      <c r="SJA488" s="4"/>
      <c r="SJB488" s="4"/>
      <c r="SJC488" s="4"/>
      <c r="SJD488" s="4"/>
      <c r="SJE488" s="4"/>
      <c r="SJF488" s="4"/>
      <c r="SJG488" s="4"/>
      <c r="SJH488" s="4"/>
      <c r="SJI488" s="4"/>
      <c r="SJJ488" s="4"/>
      <c r="SJK488" s="4"/>
      <c r="SJL488" s="4"/>
      <c r="SJM488" s="4"/>
      <c r="SJN488" s="4"/>
      <c r="SJO488" s="4"/>
      <c r="SJP488" s="4"/>
      <c r="SJQ488" s="4"/>
      <c r="SJR488" s="4"/>
      <c r="SJS488" s="4"/>
      <c r="SJT488" s="4"/>
      <c r="SJU488" s="4"/>
      <c r="SJV488" s="4"/>
      <c r="SJW488" s="4"/>
      <c r="SJX488" s="4"/>
      <c r="SJY488" s="4"/>
      <c r="SJZ488" s="4"/>
      <c r="SKA488" s="4"/>
      <c r="SKB488" s="4"/>
      <c r="SKC488" s="4"/>
      <c r="SKD488" s="4"/>
      <c r="SKE488" s="4"/>
      <c r="SKF488" s="4"/>
      <c r="SKG488" s="4"/>
      <c r="SKH488" s="4"/>
      <c r="SKI488" s="4"/>
      <c r="SKJ488" s="4"/>
      <c r="SKK488" s="4"/>
      <c r="SKL488" s="4"/>
      <c r="SKM488" s="4"/>
      <c r="SKN488" s="4"/>
      <c r="SKO488" s="4"/>
      <c r="SKP488" s="4"/>
      <c r="SKQ488" s="4"/>
      <c r="SKR488" s="4"/>
      <c r="SKS488" s="4"/>
      <c r="SKT488" s="4"/>
      <c r="SKU488" s="4"/>
      <c r="SKV488" s="4"/>
      <c r="SKW488" s="4"/>
      <c r="SKX488" s="4"/>
      <c r="SKY488" s="4"/>
      <c r="SKZ488" s="4"/>
      <c r="SLA488" s="4"/>
      <c r="SLB488" s="4"/>
      <c r="SLC488" s="4"/>
      <c r="SLD488" s="4"/>
      <c r="SLE488" s="4"/>
      <c r="SLF488" s="4"/>
      <c r="SLG488" s="4"/>
      <c r="SLH488" s="4"/>
      <c r="SLI488" s="4"/>
      <c r="SLJ488" s="4"/>
      <c r="SLK488" s="4"/>
      <c r="SLL488" s="4"/>
      <c r="SLM488" s="4"/>
      <c r="SLN488" s="4"/>
      <c r="SLO488" s="4"/>
      <c r="SLP488" s="4"/>
      <c r="SLQ488" s="4"/>
      <c r="SLR488" s="4"/>
      <c r="SLS488" s="4"/>
      <c r="SLT488" s="4"/>
      <c r="SLU488" s="4"/>
      <c r="SLV488" s="4"/>
      <c r="SLW488" s="4"/>
      <c r="SLX488" s="4"/>
      <c r="SLY488" s="4"/>
      <c r="SLZ488" s="4"/>
      <c r="SMA488" s="4"/>
      <c r="SMB488" s="4"/>
      <c r="SMC488" s="4"/>
      <c r="SMD488" s="4"/>
      <c r="SME488" s="4"/>
      <c r="SMF488" s="4"/>
      <c r="SMG488" s="4"/>
      <c r="SMH488" s="4"/>
      <c r="SMI488" s="4"/>
      <c r="SMJ488" s="4"/>
      <c r="SMK488" s="4"/>
      <c r="SML488" s="4"/>
      <c r="SMM488" s="4"/>
      <c r="SMN488" s="4"/>
      <c r="SMO488" s="4"/>
      <c r="SMP488" s="4"/>
      <c r="SMQ488" s="4"/>
      <c r="SMR488" s="4"/>
      <c r="SMS488" s="4"/>
      <c r="SMT488" s="4"/>
      <c r="SMU488" s="4"/>
      <c r="SMV488" s="4"/>
      <c r="SMW488" s="4"/>
      <c r="SMX488" s="4"/>
      <c r="SMY488" s="4"/>
      <c r="SMZ488" s="4"/>
      <c r="SNA488" s="4"/>
      <c r="SNB488" s="4"/>
      <c r="SNC488" s="4"/>
      <c r="SND488" s="4"/>
      <c r="SNE488" s="4"/>
      <c r="SNF488" s="4"/>
      <c r="SNG488" s="4"/>
      <c r="SNH488" s="4"/>
      <c r="SNI488" s="4"/>
      <c r="SNJ488" s="4"/>
      <c r="SNK488" s="4"/>
      <c r="SNL488" s="4"/>
      <c r="SNM488" s="4"/>
      <c r="SNN488" s="4"/>
      <c r="SNO488" s="4"/>
      <c r="SNP488" s="4"/>
      <c r="SNQ488" s="4"/>
      <c r="SNR488" s="4"/>
      <c r="SNS488" s="4"/>
      <c r="SNT488" s="4"/>
      <c r="SNU488" s="4"/>
      <c r="SNV488" s="4"/>
      <c r="SNW488" s="4"/>
      <c r="SNX488" s="4"/>
      <c r="SNY488" s="4"/>
      <c r="SNZ488" s="4"/>
      <c r="SOA488" s="4"/>
      <c r="SOB488" s="4"/>
      <c r="SOC488" s="4"/>
      <c r="SOD488" s="4"/>
      <c r="SOE488" s="4"/>
      <c r="SOF488" s="4"/>
      <c r="SOG488" s="4"/>
      <c r="SOH488" s="4"/>
      <c r="SOI488" s="4"/>
      <c r="SOJ488" s="4"/>
      <c r="SOK488" s="4"/>
      <c r="SOL488" s="4"/>
      <c r="SOM488" s="4"/>
      <c r="SON488" s="4"/>
      <c r="SOO488" s="4"/>
      <c r="SOP488" s="4"/>
      <c r="SOQ488" s="4"/>
      <c r="SOR488" s="4"/>
      <c r="SOS488" s="4"/>
      <c r="SOT488" s="4"/>
      <c r="SOU488" s="4"/>
      <c r="SOV488" s="4"/>
      <c r="SOW488" s="4"/>
      <c r="SOX488" s="4"/>
      <c r="SOY488" s="4"/>
      <c r="SOZ488" s="4"/>
      <c r="SPA488" s="4"/>
      <c r="SPB488" s="4"/>
      <c r="SPC488" s="4"/>
      <c r="SPD488" s="4"/>
      <c r="SPE488" s="4"/>
      <c r="SPF488" s="4"/>
      <c r="SPG488" s="4"/>
      <c r="SPH488" s="4"/>
      <c r="SPI488" s="4"/>
      <c r="SPJ488" s="4"/>
      <c r="SPK488" s="4"/>
      <c r="SPL488" s="4"/>
      <c r="SPM488" s="4"/>
      <c r="SPN488" s="4"/>
      <c r="SPO488" s="4"/>
      <c r="SPP488" s="4"/>
      <c r="SPQ488" s="4"/>
      <c r="SPR488" s="4"/>
      <c r="SPS488" s="4"/>
      <c r="SPT488" s="4"/>
      <c r="SPU488" s="4"/>
      <c r="SPV488" s="4"/>
      <c r="SPW488" s="4"/>
      <c r="SPX488" s="4"/>
      <c r="SPY488" s="4"/>
      <c r="SPZ488" s="4"/>
      <c r="SQA488" s="4"/>
      <c r="SQB488" s="4"/>
      <c r="SQC488" s="4"/>
      <c r="SQD488" s="4"/>
      <c r="SQE488" s="4"/>
      <c r="SQF488" s="4"/>
      <c r="SQG488" s="4"/>
      <c r="SQH488" s="4"/>
      <c r="SQI488" s="4"/>
      <c r="SQJ488" s="4"/>
      <c r="SQK488" s="4"/>
      <c r="SQL488" s="4"/>
      <c r="SQM488" s="4"/>
      <c r="SQN488" s="4"/>
      <c r="SQO488" s="4"/>
      <c r="SQP488" s="4"/>
      <c r="SQQ488" s="4"/>
      <c r="SQR488" s="4"/>
      <c r="SQS488" s="4"/>
      <c r="SQT488" s="4"/>
      <c r="SQU488" s="4"/>
      <c r="SQV488" s="4"/>
      <c r="SQW488" s="4"/>
      <c r="SQX488" s="4"/>
      <c r="SQY488" s="4"/>
      <c r="SQZ488" s="4"/>
      <c r="SRA488" s="4"/>
      <c r="SRB488" s="4"/>
      <c r="SRC488" s="4"/>
      <c r="SRD488" s="4"/>
      <c r="SRE488" s="4"/>
      <c r="SRF488" s="4"/>
      <c r="SRG488" s="4"/>
      <c r="SRH488" s="4"/>
      <c r="SRI488" s="4"/>
      <c r="SRJ488" s="4"/>
      <c r="SRK488" s="4"/>
      <c r="SRL488" s="4"/>
      <c r="SRM488" s="4"/>
      <c r="SRN488" s="4"/>
      <c r="SRO488" s="4"/>
      <c r="SRP488" s="4"/>
      <c r="SRQ488" s="4"/>
      <c r="SRR488" s="4"/>
      <c r="SRS488" s="4"/>
      <c r="SRT488" s="4"/>
      <c r="SRU488" s="4"/>
      <c r="SRV488" s="4"/>
      <c r="SRW488" s="4"/>
      <c r="SRX488" s="4"/>
      <c r="SRY488" s="4"/>
      <c r="SRZ488" s="4"/>
      <c r="SSA488" s="4"/>
      <c r="SSB488" s="4"/>
      <c r="SSC488" s="4"/>
      <c r="SSD488" s="4"/>
      <c r="SSE488" s="4"/>
      <c r="SSF488" s="4"/>
      <c r="SSG488" s="4"/>
      <c r="SSH488" s="4"/>
      <c r="SSI488" s="4"/>
      <c r="SSJ488" s="4"/>
      <c r="SSK488" s="4"/>
      <c r="SSL488" s="4"/>
      <c r="SSM488" s="4"/>
      <c r="SSN488" s="4"/>
      <c r="SSO488" s="4"/>
      <c r="SSP488" s="4"/>
      <c r="SSQ488" s="4"/>
      <c r="SSR488" s="4"/>
      <c r="SSS488" s="4"/>
      <c r="SST488" s="4"/>
      <c r="SSU488" s="4"/>
      <c r="SSV488" s="4"/>
      <c r="SSW488" s="4"/>
      <c r="SSX488" s="4"/>
      <c r="SSY488" s="4"/>
      <c r="SSZ488" s="4"/>
      <c r="STA488" s="4"/>
      <c r="STB488" s="4"/>
      <c r="STC488" s="4"/>
      <c r="STD488" s="4"/>
      <c r="STE488" s="4"/>
      <c r="STF488" s="4"/>
      <c r="STG488" s="4"/>
      <c r="STH488" s="4"/>
      <c r="STI488" s="4"/>
      <c r="STJ488" s="4"/>
      <c r="STK488" s="4"/>
      <c r="STL488" s="4"/>
      <c r="STM488" s="4"/>
      <c r="STN488" s="4"/>
      <c r="STO488" s="4"/>
      <c r="STP488" s="4"/>
      <c r="STQ488" s="4"/>
      <c r="STR488" s="4"/>
      <c r="STS488" s="4"/>
      <c r="STT488" s="4"/>
      <c r="STU488" s="4"/>
      <c r="STV488" s="4"/>
      <c r="STW488" s="4"/>
      <c r="STX488" s="4"/>
      <c r="STY488" s="4"/>
      <c r="STZ488" s="4"/>
      <c r="SUA488" s="4"/>
      <c r="SUB488" s="4"/>
      <c r="SUC488" s="4"/>
      <c r="SUD488" s="4"/>
      <c r="SUE488" s="4"/>
      <c r="SUF488" s="4"/>
      <c r="SUG488" s="4"/>
      <c r="SUH488" s="4"/>
      <c r="SUI488" s="4"/>
      <c r="SUJ488" s="4"/>
      <c r="SUK488" s="4"/>
      <c r="SUL488" s="4"/>
      <c r="SUM488" s="4"/>
      <c r="SUN488" s="4"/>
      <c r="SUO488" s="4"/>
      <c r="SUP488" s="4"/>
      <c r="SUQ488" s="4"/>
      <c r="SUR488" s="4"/>
      <c r="SUS488" s="4"/>
      <c r="SUT488" s="4"/>
      <c r="SUU488" s="4"/>
      <c r="SUV488" s="4"/>
      <c r="SUW488" s="4"/>
      <c r="SUX488" s="4"/>
      <c r="SUY488" s="4"/>
      <c r="SUZ488" s="4"/>
      <c r="SVA488" s="4"/>
      <c r="SVB488" s="4"/>
      <c r="SVC488" s="4"/>
      <c r="SVD488" s="4"/>
      <c r="SVE488" s="4"/>
      <c r="SVF488" s="4"/>
      <c r="SVG488" s="4"/>
      <c r="SVH488" s="4"/>
      <c r="SVI488" s="4"/>
      <c r="SVJ488" s="4"/>
      <c r="SVK488" s="4"/>
      <c r="SVL488" s="4"/>
      <c r="SVM488" s="4"/>
      <c r="SVN488" s="4"/>
      <c r="SVO488" s="4"/>
      <c r="SVP488" s="4"/>
      <c r="SVQ488" s="4"/>
      <c r="SVR488" s="4"/>
      <c r="SVS488" s="4"/>
      <c r="SVT488" s="4"/>
      <c r="SVU488" s="4"/>
      <c r="SVV488" s="4"/>
      <c r="SVW488" s="4"/>
      <c r="SVX488" s="4"/>
      <c r="SVY488" s="4"/>
      <c r="SVZ488" s="4"/>
      <c r="SWA488" s="4"/>
      <c r="SWB488" s="4"/>
      <c r="SWC488" s="4"/>
      <c r="SWD488" s="4"/>
      <c r="SWE488" s="4"/>
      <c r="SWF488" s="4"/>
      <c r="SWG488" s="4"/>
      <c r="SWH488" s="4"/>
      <c r="SWI488" s="4"/>
      <c r="SWJ488" s="4"/>
      <c r="SWK488" s="4"/>
      <c r="SWL488" s="4"/>
      <c r="SWM488" s="4"/>
      <c r="SWN488" s="4"/>
      <c r="SWO488" s="4"/>
      <c r="SWP488" s="4"/>
      <c r="SWQ488" s="4"/>
      <c r="SWR488" s="4"/>
      <c r="SWS488" s="4"/>
      <c r="SWT488" s="4"/>
      <c r="SWU488" s="4"/>
      <c r="SWV488" s="4"/>
      <c r="SWW488" s="4"/>
      <c r="SWX488" s="4"/>
      <c r="SWY488" s="4"/>
      <c r="SWZ488" s="4"/>
      <c r="SXA488" s="4"/>
      <c r="SXB488" s="4"/>
      <c r="SXC488" s="4"/>
      <c r="SXD488" s="4"/>
      <c r="SXE488" s="4"/>
      <c r="SXF488" s="4"/>
      <c r="SXG488" s="4"/>
      <c r="SXH488" s="4"/>
      <c r="SXI488" s="4"/>
      <c r="SXJ488" s="4"/>
      <c r="SXK488" s="4"/>
      <c r="SXL488" s="4"/>
      <c r="SXM488" s="4"/>
      <c r="SXN488" s="4"/>
      <c r="SXO488" s="4"/>
      <c r="SXP488" s="4"/>
      <c r="SXQ488" s="4"/>
      <c r="SXR488" s="4"/>
      <c r="SXS488" s="4"/>
      <c r="SXT488" s="4"/>
      <c r="SXU488" s="4"/>
      <c r="SXV488" s="4"/>
      <c r="SXW488" s="4"/>
      <c r="SXX488" s="4"/>
      <c r="SXY488" s="4"/>
      <c r="SXZ488" s="4"/>
      <c r="SYA488" s="4"/>
      <c r="SYB488" s="4"/>
      <c r="SYC488" s="4"/>
      <c r="SYD488" s="4"/>
      <c r="SYE488" s="4"/>
      <c r="SYF488" s="4"/>
      <c r="SYG488" s="4"/>
      <c r="SYH488" s="4"/>
      <c r="SYI488" s="4"/>
      <c r="SYJ488" s="4"/>
      <c r="SYK488" s="4"/>
      <c r="SYL488" s="4"/>
      <c r="SYM488" s="4"/>
      <c r="SYN488" s="4"/>
      <c r="SYO488" s="4"/>
      <c r="SYP488" s="4"/>
      <c r="SYQ488" s="4"/>
      <c r="SYR488" s="4"/>
      <c r="SYS488" s="4"/>
      <c r="SYT488" s="4"/>
      <c r="SYU488" s="4"/>
      <c r="SYV488" s="4"/>
      <c r="SYW488" s="4"/>
      <c r="SYX488" s="4"/>
      <c r="SYY488" s="4"/>
      <c r="SYZ488" s="4"/>
      <c r="SZA488" s="4"/>
      <c r="SZB488" s="4"/>
      <c r="SZC488" s="4"/>
      <c r="SZD488" s="4"/>
      <c r="SZE488" s="4"/>
      <c r="SZF488" s="4"/>
      <c r="SZG488" s="4"/>
      <c r="SZH488" s="4"/>
      <c r="SZI488" s="4"/>
      <c r="SZJ488" s="4"/>
      <c r="SZK488" s="4"/>
      <c r="SZL488" s="4"/>
      <c r="SZM488" s="4"/>
      <c r="SZN488" s="4"/>
      <c r="SZO488" s="4"/>
      <c r="SZP488" s="4"/>
      <c r="SZQ488" s="4"/>
      <c r="SZR488" s="4"/>
      <c r="SZS488" s="4"/>
      <c r="SZT488" s="4"/>
      <c r="SZU488" s="4"/>
      <c r="SZV488" s="4"/>
      <c r="SZW488" s="4"/>
      <c r="SZX488" s="4"/>
      <c r="SZY488" s="4"/>
      <c r="SZZ488" s="4"/>
      <c r="TAA488" s="4"/>
      <c r="TAB488" s="4"/>
      <c r="TAC488" s="4"/>
      <c r="TAD488" s="4"/>
      <c r="TAE488" s="4"/>
      <c r="TAF488" s="4"/>
      <c r="TAG488" s="4"/>
      <c r="TAH488" s="4"/>
      <c r="TAI488" s="4"/>
      <c r="TAJ488" s="4"/>
      <c r="TAK488" s="4"/>
      <c r="TAL488" s="4"/>
      <c r="TAM488" s="4"/>
      <c r="TAN488" s="4"/>
      <c r="TAO488" s="4"/>
      <c r="TAP488" s="4"/>
      <c r="TAQ488" s="4"/>
      <c r="TAR488" s="4"/>
      <c r="TAS488" s="4"/>
      <c r="TAT488" s="4"/>
      <c r="TAU488" s="4"/>
      <c r="TAV488" s="4"/>
      <c r="TAW488" s="4"/>
      <c r="TAX488" s="4"/>
      <c r="TAY488" s="4"/>
      <c r="TAZ488" s="4"/>
      <c r="TBA488" s="4"/>
      <c r="TBB488" s="4"/>
      <c r="TBC488" s="4"/>
      <c r="TBD488" s="4"/>
      <c r="TBE488" s="4"/>
      <c r="TBF488" s="4"/>
      <c r="TBG488" s="4"/>
      <c r="TBH488" s="4"/>
      <c r="TBI488" s="4"/>
      <c r="TBJ488" s="4"/>
      <c r="TBK488" s="4"/>
      <c r="TBL488" s="4"/>
      <c r="TBM488" s="4"/>
      <c r="TBN488" s="4"/>
      <c r="TBO488" s="4"/>
      <c r="TBP488" s="4"/>
      <c r="TBQ488" s="4"/>
      <c r="TBR488" s="4"/>
      <c r="TBS488" s="4"/>
      <c r="TBT488" s="4"/>
      <c r="TBU488" s="4"/>
      <c r="TBV488" s="4"/>
      <c r="TBW488" s="4"/>
      <c r="TBX488" s="4"/>
      <c r="TBY488" s="4"/>
      <c r="TBZ488" s="4"/>
      <c r="TCA488" s="4"/>
      <c r="TCB488" s="4"/>
      <c r="TCC488" s="4"/>
      <c r="TCD488" s="4"/>
      <c r="TCE488" s="4"/>
      <c r="TCF488" s="4"/>
      <c r="TCG488" s="4"/>
      <c r="TCH488" s="4"/>
      <c r="TCI488" s="4"/>
      <c r="TCJ488" s="4"/>
      <c r="TCK488" s="4"/>
      <c r="TCL488" s="4"/>
      <c r="TCM488" s="4"/>
      <c r="TCN488" s="4"/>
      <c r="TCO488" s="4"/>
      <c r="TCP488" s="4"/>
      <c r="TCQ488" s="4"/>
      <c r="TCR488" s="4"/>
      <c r="TCS488" s="4"/>
      <c r="TCT488" s="4"/>
      <c r="TCU488" s="4"/>
      <c r="TCV488" s="4"/>
      <c r="TCW488" s="4"/>
      <c r="TCX488" s="4"/>
      <c r="TCY488" s="4"/>
      <c r="TCZ488" s="4"/>
      <c r="TDA488" s="4"/>
      <c r="TDB488" s="4"/>
      <c r="TDC488" s="4"/>
      <c r="TDD488" s="4"/>
      <c r="TDE488" s="4"/>
      <c r="TDF488" s="4"/>
      <c r="TDG488" s="4"/>
      <c r="TDH488" s="4"/>
      <c r="TDI488" s="4"/>
      <c r="TDJ488" s="4"/>
      <c r="TDK488" s="4"/>
      <c r="TDL488" s="4"/>
      <c r="TDM488" s="4"/>
      <c r="TDN488" s="4"/>
      <c r="TDO488" s="4"/>
      <c r="TDP488" s="4"/>
      <c r="TDQ488" s="4"/>
      <c r="TDR488" s="4"/>
      <c r="TDS488" s="4"/>
      <c r="TDT488" s="4"/>
      <c r="TDU488" s="4"/>
      <c r="TDV488" s="4"/>
      <c r="TDW488" s="4"/>
      <c r="TDX488" s="4"/>
      <c r="TDY488" s="4"/>
      <c r="TDZ488" s="4"/>
      <c r="TEA488" s="4"/>
      <c r="TEB488" s="4"/>
      <c r="TEC488" s="4"/>
      <c r="TED488" s="4"/>
      <c r="TEE488" s="4"/>
      <c r="TEF488" s="4"/>
      <c r="TEG488" s="4"/>
      <c r="TEH488" s="4"/>
      <c r="TEI488" s="4"/>
      <c r="TEJ488" s="4"/>
      <c r="TEK488" s="4"/>
      <c r="TEL488" s="4"/>
      <c r="TEM488" s="4"/>
      <c r="TEN488" s="4"/>
      <c r="TEO488" s="4"/>
      <c r="TEP488" s="4"/>
      <c r="TEQ488" s="4"/>
      <c r="TER488" s="4"/>
      <c r="TES488" s="4"/>
      <c r="TET488" s="4"/>
      <c r="TEU488" s="4"/>
      <c r="TEV488" s="4"/>
      <c r="TEW488" s="4"/>
      <c r="TEX488" s="4"/>
      <c r="TEY488" s="4"/>
      <c r="TEZ488" s="4"/>
      <c r="TFA488" s="4"/>
      <c r="TFB488" s="4"/>
      <c r="TFC488" s="4"/>
      <c r="TFD488" s="4"/>
      <c r="TFE488" s="4"/>
      <c r="TFF488" s="4"/>
      <c r="TFG488" s="4"/>
      <c r="TFH488" s="4"/>
      <c r="TFI488" s="4"/>
      <c r="TFJ488" s="4"/>
      <c r="TFK488" s="4"/>
      <c r="TFL488" s="4"/>
      <c r="TFM488" s="4"/>
      <c r="TFN488" s="4"/>
      <c r="TFO488" s="4"/>
      <c r="TFP488" s="4"/>
      <c r="TFQ488" s="4"/>
      <c r="TFR488" s="4"/>
      <c r="TFS488" s="4"/>
      <c r="TFT488" s="4"/>
      <c r="TFU488" s="4"/>
      <c r="TFV488" s="4"/>
      <c r="TFW488" s="4"/>
      <c r="TFX488" s="4"/>
      <c r="TFY488" s="4"/>
      <c r="TFZ488" s="4"/>
      <c r="TGA488" s="4"/>
      <c r="TGB488" s="4"/>
      <c r="TGC488" s="4"/>
      <c r="TGD488" s="4"/>
      <c r="TGE488" s="4"/>
      <c r="TGF488" s="4"/>
      <c r="TGG488" s="4"/>
      <c r="TGH488" s="4"/>
      <c r="TGI488" s="4"/>
      <c r="TGJ488" s="4"/>
      <c r="TGK488" s="4"/>
      <c r="TGL488" s="4"/>
      <c r="TGM488" s="4"/>
      <c r="TGN488" s="4"/>
      <c r="TGO488" s="4"/>
      <c r="TGP488" s="4"/>
      <c r="TGQ488" s="4"/>
      <c r="TGR488" s="4"/>
      <c r="TGS488" s="4"/>
      <c r="TGT488" s="4"/>
      <c r="TGU488" s="4"/>
      <c r="TGV488" s="4"/>
      <c r="TGW488" s="4"/>
      <c r="TGX488" s="4"/>
      <c r="TGY488" s="4"/>
      <c r="TGZ488" s="4"/>
      <c r="THA488" s="4"/>
      <c r="THB488" s="4"/>
      <c r="THC488" s="4"/>
      <c r="THD488" s="4"/>
      <c r="THE488" s="4"/>
      <c r="THF488" s="4"/>
      <c r="THG488" s="4"/>
      <c r="THH488" s="4"/>
      <c r="THI488" s="4"/>
      <c r="THJ488" s="4"/>
      <c r="THK488" s="4"/>
      <c r="THL488" s="4"/>
      <c r="THM488" s="4"/>
      <c r="THN488" s="4"/>
      <c r="THO488" s="4"/>
      <c r="THP488" s="4"/>
      <c r="THQ488" s="4"/>
      <c r="THR488" s="4"/>
      <c r="THS488" s="4"/>
      <c r="THT488" s="4"/>
      <c r="THU488" s="4"/>
      <c r="THV488" s="4"/>
      <c r="THW488" s="4"/>
      <c r="THX488" s="4"/>
      <c r="THY488" s="4"/>
      <c r="THZ488" s="4"/>
      <c r="TIA488" s="4"/>
      <c r="TIB488" s="4"/>
      <c r="TIC488" s="4"/>
      <c r="TID488" s="4"/>
      <c r="TIE488" s="4"/>
      <c r="TIF488" s="4"/>
      <c r="TIG488" s="4"/>
      <c r="TIH488" s="4"/>
      <c r="TII488" s="4"/>
      <c r="TIJ488" s="4"/>
      <c r="TIK488" s="4"/>
      <c r="TIL488" s="4"/>
      <c r="TIM488" s="4"/>
      <c r="TIN488" s="4"/>
      <c r="TIO488" s="4"/>
      <c r="TIP488" s="4"/>
      <c r="TIQ488" s="4"/>
      <c r="TIR488" s="4"/>
      <c r="TIS488" s="4"/>
      <c r="TIT488" s="4"/>
      <c r="TIU488" s="4"/>
      <c r="TIV488" s="4"/>
      <c r="TIW488" s="4"/>
      <c r="TIX488" s="4"/>
      <c r="TIY488" s="4"/>
      <c r="TIZ488" s="4"/>
      <c r="TJA488" s="4"/>
      <c r="TJB488" s="4"/>
      <c r="TJC488" s="4"/>
      <c r="TJD488" s="4"/>
      <c r="TJE488" s="4"/>
      <c r="TJF488" s="4"/>
      <c r="TJG488" s="4"/>
      <c r="TJH488" s="4"/>
      <c r="TJI488" s="4"/>
      <c r="TJJ488" s="4"/>
      <c r="TJK488" s="4"/>
      <c r="TJL488" s="4"/>
      <c r="TJM488" s="4"/>
      <c r="TJN488" s="4"/>
      <c r="TJO488" s="4"/>
      <c r="TJP488" s="4"/>
      <c r="TJQ488" s="4"/>
      <c r="TJR488" s="4"/>
      <c r="TJS488" s="4"/>
      <c r="TJT488" s="4"/>
      <c r="TJU488" s="4"/>
      <c r="TJV488" s="4"/>
      <c r="TJW488" s="4"/>
      <c r="TJX488" s="4"/>
      <c r="TJY488" s="4"/>
      <c r="TJZ488" s="4"/>
      <c r="TKA488" s="4"/>
      <c r="TKB488" s="4"/>
      <c r="TKC488" s="4"/>
      <c r="TKD488" s="4"/>
      <c r="TKE488" s="4"/>
      <c r="TKF488" s="4"/>
      <c r="TKG488" s="4"/>
      <c r="TKH488" s="4"/>
      <c r="TKI488" s="4"/>
      <c r="TKJ488" s="4"/>
      <c r="TKK488" s="4"/>
      <c r="TKL488" s="4"/>
      <c r="TKM488" s="4"/>
      <c r="TKN488" s="4"/>
      <c r="TKO488" s="4"/>
      <c r="TKP488" s="4"/>
      <c r="TKQ488" s="4"/>
      <c r="TKR488" s="4"/>
      <c r="TKS488" s="4"/>
      <c r="TKT488" s="4"/>
      <c r="TKU488" s="4"/>
      <c r="TKV488" s="4"/>
      <c r="TKW488" s="4"/>
      <c r="TKX488" s="4"/>
      <c r="TKY488" s="4"/>
      <c r="TKZ488" s="4"/>
      <c r="TLA488" s="4"/>
      <c r="TLB488" s="4"/>
      <c r="TLC488" s="4"/>
      <c r="TLD488" s="4"/>
      <c r="TLE488" s="4"/>
      <c r="TLF488" s="4"/>
      <c r="TLG488" s="4"/>
      <c r="TLH488" s="4"/>
      <c r="TLI488" s="4"/>
      <c r="TLJ488" s="4"/>
      <c r="TLK488" s="4"/>
      <c r="TLL488" s="4"/>
      <c r="TLM488" s="4"/>
      <c r="TLN488" s="4"/>
      <c r="TLO488" s="4"/>
      <c r="TLP488" s="4"/>
      <c r="TLQ488" s="4"/>
      <c r="TLR488" s="4"/>
      <c r="TLS488" s="4"/>
      <c r="TLT488" s="4"/>
      <c r="TLU488" s="4"/>
      <c r="TLV488" s="4"/>
      <c r="TLW488" s="4"/>
      <c r="TLX488" s="4"/>
      <c r="TLY488" s="4"/>
      <c r="TLZ488" s="4"/>
      <c r="TMA488" s="4"/>
      <c r="TMB488" s="4"/>
      <c r="TMC488" s="4"/>
      <c r="TMD488" s="4"/>
      <c r="TME488" s="4"/>
      <c r="TMF488" s="4"/>
      <c r="TMG488" s="4"/>
      <c r="TMH488" s="4"/>
      <c r="TMI488" s="4"/>
      <c r="TMJ488" s="4"/>
      <c r="TMK488" s="4"/>
      <c r="TML488" s="4"/>
      <c r="TMM488" s="4"/>
      <c r="TMN488" s="4"/>
      <c r="TMO488" s="4"/>
      <c r="TMP488" s="4"/>
      <c r="TMQ488" s="4"/>
      <c r="TMR488" s="4"/>
      <c r="TMS488" s="4"/>
      <c r="TMT488" s="4"/>
      <c r="TMU488" s="4"/>
      <c r="TMV488" s="4"/>
      <c r="TMW488" s="4"/>
      <c r="TMX488" s="4"/>
      <c r="TMY488" s="4"/>
      <c r="TMZ488" s="4"/>
      <c r="TNA488" s="4"/>
      <c r="TNB488" s="4"/>
      <c r="TNC488" s="4"/>
      <c r="TND488" s="4"/>
      <c r="TNE488" s="4"/>
      <c r="TNF488" s="4"/>
      <c r="TNG488" s="4"/>
      <c r="TNH488" s="4"/>
      <c r="TNI488" s="4"/>
      <c r="TNJ488" s="4"/>
      <c r="TNK488" s="4"/>
      <c r="TNL488" s="4"/>
      <c r="TNM488" s="4"/>
      <c r="TNN488" s="4"/>
      <c r="TNO488" s="4"/>
      <c r="TNP488" s="4"/>
      <c r="TNQ488" s="4"/>
      <c r="TNR488" s="4"/>
      <c r="TNS488" s="4"/>
      <c r="TNT488" s="4"/>
      <c r="TNU488" s="4"/>
      <c r="TNV488" s="4"/>
      <c r="TNW488" s="4"/>
      <c r="TNX488" s="4"/>
      <c r="TNY488" s="4"/>
      <c r="TNZ488" s="4"/>
      <c r="TOA488" s="4"/>
      <c r="TOB488" s="4"/>
      <c r="TOC488" s="4"/>
      <c r="TOD488" s="4"/>
      <c r="TOE488" s="4"/>
      <c r="TOF488" s="4"/>
      <c r="TOG488" s="4"/>
      <c r="TOH488" s="4"/>
      <c r="TOI488" s="4"/>
      <c r="TOJ488" s="4"/>
      <c r="TOK488" s="4"/>
      <c r="TOL488" s="4"/>
      <c r="TOM488" s="4"/>
      <c r="TON488" s="4"/>
      <c r="TOO488" s="4"/>
      <c r="TOP488" s="4"/>
      <c r="TOQ488" s="4"/>
      <c r="TOR488" s="4"/>
      <c r="TOS488" s="4"/>
      <c r="TOT488" s="4"/>
      <c r="TOU488" s="4"/>
      <c r="TOV488" s="4"/>
      <c r="TOW488" s="4"/>
      <c r="TOX488" s="4"/>
      <c r="TOY488" s="4"/>
      <c r="TOZ488" s="4"/>
      <c r="TPA488" s="4"/>
      <c r="TPB488" s="4"/>
      <c r="TPC488" s="4"/>
      <c r="TPD488" s="4"/>
      <c r="TPE488" s="4"/>
      <c r="TPF488" s="4"/>
      <c r="TPG488" s="4"/>
      <c r="TPH488" s="4"/>
      <c r="TPI488" s="4"/>
      <c r="TPJ488" s="4"/>
      <c r="TPK488" s="4"/>
      <c r="TPL488" s="4"/>
      <c r="TPM488" s="4"/>
      <c r="TPN488" s="4"/>
      <c r="TPO488" s="4"/>
      <c r="TPP488" s="4"/>
      <c r="TPQ488" s="4"/>
      <c r="TPR488" s="4"/>
      <c r="TPS488" s="4"/>
      <c r="TPT488" s="4"/>
      <c r="TPU488" s="4"/>
      <c r="TPV488" s="4"/>
      <c r="TPW488" s="4"/>
      <c r="TPX488" s="4"/>
      <c r="TPY488" s="4"/>
      <c r="TPZ488" s="4"/>
      <c r="TQA488" s="4"/>
      <c r="TQB488" s="4"/>
      <c r="TQC488" s="4"/>
      <c r="TQD488" s="4"/>
      <c r="TQE488" s="4"/>
      <c r="TQF488" s="4"/>
      <c r="TQG488" s="4"/>
      <c r="TQH488" s="4"/>
      <c r="TQI488" s="4"/>
      <c r="TQJ488" s="4"/>
      <c r="TQK488" s="4"/>
      <c r="TQL488" s="4"/>
      <c r="TQM488" s="4"/>
      <c r="TQN488" s="4"/>
      <c r="TQO488" s="4"/>
      <c r="TQP488" s="4"/>
      <c r="TQQ488" s="4"/>
      <c r="TQR488" s="4"/>
      <c r="TQS488" s="4"/>
      <c r="TQT488" s="4"/>
      <c r="TQU488" s="4"/>
      <c r="TQV488" s="4"/>
      <c r="TQW488" s="4"/>
      <c r="TQX488" s="4"/>
      <c r="TQY488" s="4"/>
      <c r="TQZ488" s="4"/>
      <c r="TRA488" s="4"/>
      <c r="TRB488" s="4"/>
      <c r="TRC488" s="4"/>
      <c r="TRD488" s="4"/>
      <c r="TRE488" s="4"/>
      <c r="TRF488" s="4"/>
      <c r="TRG488" s="4"/>
      <c r="TRH488" s="4"/>
      <c r="TRI488" s="4"/>
      <c r="TRJ488" s="4"/>
      <c r="TRK488" s="4"/>
      <c r="TRL488" s="4"/>
      <c r="TRM488" s="4"/>
      <c r="TRN488" s="4"/>
      <c r="TRO488" s="4"/>
      <c r="TRP488" s="4"/>
      <c r="TRQ488" s="4"/>
      <c r="TRR488" s="4"/>
      <c r="TRS488" s="4"/>
      <c r="TRT488" s="4"/>
      <c r="TRU488" s="4"/>
      <c r="TRV488" s="4"/>
      <c r="TRW488" s="4"/>
      <c r="TRX488" s="4"/>
      <c r="TRY488" s="4"/>
      <c r="TRZ488" s="4"/>
      <c r="TSA488" s="4"/>
      <c r="TSB488" s="4"/>
      <c r="TSC488" s="4"/>
      <c r="TSD488" s="4"/>
      <c r="TSE488" s="4"/>
      <c r="TSF488" s="4"/>
      <c r="TSG488" s="4"/>
      <c r="TSH488" s="4"/>
      <c r="TSI488" s="4"/>
      <c r="TSJ488" s="4"/>
      <c r="TSK488" s="4"/>
      <c r="TSL488" s="4"/>
      <c r="TSM488" s="4"/>
      <c r="TSN488" s="4"/>
      <c r="TSO488" s="4"/>
      <c r="TSP488" s="4"/>
      <c r="TSQ488" s="4"/>
      <c r="TSR488" s="4"/>
      <c r="TSS488" s="4"/>
      <c r="TST488" s="4"/>
      <c r="TSU488" s="4"/>
      <c r="TSV488" s="4"/>
      <c r="TSW488" s="4"/>
      <c r="TSX488" s="4"/>
      <c r="TSY488" s="4"/>
      <c r="TSZ488" s="4"/>
      <c r="TTA488" s="4"/>
      <c r="TTB488" s="4"/>
      <c r="TTC488" s="4"/>
      <c r="TTD488" s="4"/>
      <c r="TTE488" s="4"/>
      <c r="TTF488" s="4"/>
      <c r="TTG488" s="4"/>
      <c r="TTH488" s="4"/>
      <c r="TTI488" s="4"/>
      <c r="TTJ488" s="4"/>
      <c r="TTK488" s="4"/>
      <c r="TTL488" s="4"/>
      <c r="TTM488" s="4"/>
      <c r="TTN488" s="4"/>
      <c r="TTO488" s="4"/>
      <c r="TTP488" s="4"/>
      <c r="TTQ488" s="4"/>
      <c r="TTR488" s="4"/>
      <c r="TTS488" s="4"/>
      <c r="TTT488" s="4"/>
      <c r="TTU488" s="4"/>
      <c r="TTV488" s="4"/>
      <c r="TTW488" s="4"/>
      <c r="TTX488" s="4"/>
      <c r="TTY488" s="4"/>
      <c r="TTZ488" s="4"/>
      <c r="TUA488" s="4"/>
      <c r="TUB488" s="4"/>
      <c r="TUC488" s="4"/>
      <c r="TUD488" s="4"/>
      <c r="TUE488" s="4"/>
      <c r="TUF488" s="4"/>
      <c r="TUG488" s="4"/>
      <c r="TUH488" s="4"/>
      <c r="TUI488" s="4"/>
      <c r="TUJ488" s="4"/>
      <c r="TUK488" s="4"/>
      <c r="TUL488" s="4"/>
      <c r="TUM488" s="4"/>
      <c r="TUN488" s="4"/>
      <c r="TUO488" s="4"/>
      <c r="TUP488" s="4"/>
      <c r="TUQ488" s="4"/>
      <c r="TUR488" s="4"/>
      <c r="TUS488" s="4"/>
      <c r="TUT488" s="4"/>
      <c r="TUU488" s="4"/>
      <c r="TUV488" s="4"/>
      <c r="TUW488" s="4"/>
      <c r="TUX488" s="4"/>
      <c r="TUY488" s="4"/>
      <c r="TUZ488" s="4"/>
      <c r="TVA488" s="4"/>
      <c r="TVB488" s="4"/>
      <c r="TVC488" s="4"/>
      <c r="TVD488" s="4"/>
      <c r="TVE488" s="4"/>
      <c r="TVF488" s="4"/>
      <c r="TVG488" s="4"/>
      <c r="TVH488" s="4"/>
      <c r="TVI488" s="4"/>
      <c r="TVJ488" s="4"/>
      <c r="TVK488" s="4"/>
      <c r="TVL488" s="4"/>
      <c r="TVM488" s="4"/>
      <c r="TVN488" s="4"/>
      <c r="TVO488" s="4"/>
      <c r="TVP488" s="4"/>
      <c r="TVQ488" s="4"/>
      <c r="TVR488" s="4"/>
      <c r="TVS488" s="4"/>
      <c r="TVT488" s="4"/>
      <c r="TVU488" s="4"/>
      <c r="TVV488" s="4"/>
      <c r="TVW488" s="4"/>
      <c r="TVX488" s="4"/>
      <c r="TVY488" s="4"/>
      <c r="TVZ488" s="4"/>
      <c r="TWA488" s="4"/>
      <c r="TWB488" s="4"/>
      <c r="TWC488" s="4"/>
      <c r="TWD488" s="4"/>
      <c r="TWE488" s="4"/>
      <c r="TWF488" s="4"/>
      <c r="TWG488" s="4"/>
      <c r="TWH488" s="4"/>
      <c r="TWI488" s="4"/>
      <c r="TWJ488" s="4"/>
      <c r="TWK488" s="4"/>
      <c r="TWL488" s="4"/>
      <c r="TWM488" s="4"/>
      <c r="TWN488" s="4"/>
      <c r="TWO488" s="4"/>
      <c r="TWP488" s="4"/>
      <c r="TWQ488" s="4"/>
      <c r="TWR488" s="4"/>
      <c r="TWS488" s="4"/>
      <c r="TWT488" s="4"/>
      <c r="TWU488" s="4"/>
      <c r="TWV488" s="4"/>
      <c r="TWW488" s="4"/>
      <c r="TWX488" s="4"/>
      <c r="TWY488" s="4"/>
      <c r="TWZ488" s="4"/>
      <c r="TXA488" s="4"/>
      <c r="TXB488" s="4"/>
      <c r="TXC488" s="4"/>
      <c r="TXD488" s="4"/>
      <c r="TXE488" s="4"/>
      <c r="TXF488" s="4"/>
      <c r="TXG488" s="4"/>
      <c r="TXH488" s="4"/>
      <c r="TXI488" s="4"/>
      <c r="TXJ488" s="4"/>
      <c r="TXK488" s="4"/>
      <c r="TXL488" s="4"/>
      <c r="TXM488" s="4"/>
      <c r="TXN488" s="4"/>
      <c r="TXO488" s="4"/>
      <c r="TXP488" s="4"/>
      <c r="TXQ488" s="4"/>
      <c r="TXR488" s="4"/>
      <c r="TXS488" s="4"/>
      <c r="TXT488" s="4"/>
      <c r="TXU488" s="4"/>
      <c r="TXV488" s="4"/>
      <c r="TXW488" s="4"/>
      <c r="TXX488" s="4"/>
      <c r="TXY488" s="4"/>
      <c r="TXZ488" s="4"/>
      <c r="TYA488" s="4"/>
      <c r="TYB488" s="4"/>
      <c r="TYC488" s="4"/>
      <c r="TYD488" s="4"/>
      <c r="TYE488" s="4"/>
      <c r="TYF488" s="4"/>
      <c r="TYG488" s="4"/>
      <c r="TYH488" s="4"/>
      <c r="TYI488" s="4"/>
      <c r="TYJ488" s="4"/>
      <c r="TYK488" s="4"/>
      <c r="TYL488" s="4"/>
      <c r="TYM488" s="4"/>
      <c r="TYN488" s="4"/>
      <c r="TYO488" s="4"/>
      <c r="TYP488" s="4"/>
      <c r="TYQ488" s="4"/>
      <c r="TYR488" s="4"/>
      <c r="TYS488" s="4"/>
      <c r="TYT488" s="4"/>
      <c r="TYU488" s="4"/>
      <c r="TYV488" s="4"/>
      <c r="TYW488" s="4"/>
      <c r="TYX488" s="4"/>
      <c r="TYY488" s="4"/>
      <c r="TYZ488" s="4"/>
      <c r="TZA488" s="4"/>
      <c r="TZB488" s="4"/>
      <c r="TZC488" s="4"/>
      <c r="TZD488" s="4"/>
      <c r="TZE488" s="4"/>
      <c r="TZF488" s="4"/>
      <c r="TZG488" s="4"/>
      <c r="TZH488" s="4"/>
      <c r="TZI488" s="4"/>
      <c r="TZJ488" s="4"/>
      <c r="TZK488" s="4"/>
      <c r="TZL488" s="4"/>
      <c r="TZM488" s="4"/>
      <c r="TZN488" s="4"/>
      <c r="TZO488" s="4"/>
      <c r="TZP488" s="4"/>
      <c r="TZQ488" s="4"/>
      <c r="TZR488" s="4"/>
      <c r="TZS488" s="4"/>
      <c r="TZT488" s="4"/>
      <c r="TZU488" s="4"/>
      <c r="TZV488" s="4"/>
      <c r="TZW488" s="4"/>
      <c r="TZX488" s="4"/>
      <c r="TZY488" s="4"/>
      <c r="TZZ488" s="4"/>
      <c r="UAA488" s="4"/>
      <c r="UAB488" s="4"/>
      <c r="UAC488" s="4"/>
      <c r="UAD488" s="4"/>
      <c r="UAE488" s="4"/>
      <c r="UAF488" s="4"/>
      <c r="UAG488" s="4"/>
      <c r="UAH488" s="4"/>
      <c r="UAI488" s="4"/>
      <c r="UAJ488" s="4"/>
      <c r="UAK488" s="4"/>
      <c r="UAL488" s="4"/>
      <c r="UAM488" s="4"/>
      <c r="UAN488" s="4"/>
      <c r="UAO488" s="4"/>
      <c r="UAP488" s="4"/>
      <c r="UAQ488" s="4"/>
      <c r="UAR488" s="4"/>
      <c r="UAS488" s="4"/>
      <c r="UAT488" s="4"/>
      <c r="UAU488" s="4"/>
      <c r="UAV488" s="4"/>
      <c r="UAW488" s="4"/>
      <c r="UAX488" s="4"/>
      <c r="UAY488" s="4"/>
      <c r="UAZ488" s="4"/>
      <c r="UBA488" s="4"/>
      <c r="UBB488" s="4"/>
      <c r="UBC488" s="4"/>
      <c r="UBD488" s="4"/>
      <c r="UBE488" s="4"/>
      <c r="UBF488" s="4"/>
      <c r="UBG488" s="4"/>
      <c r="UBH488" s="4"/>
      <c r="UBI488" s="4"/>
      <c r="UBJ488" s="4"/>
      <c r="UBK488" s="4"/>
      <c r="UBL488" s="4"/>
      <c r="UBM488" s="4"/>
      <c r="UBN488" s="4"/>
      <c r="UBO488" s="4"/>
      <c r="UBP488" s="4"/>
      <c r="UBQ488" s="4"/>
      <c r="UBR488" s="4"/>
      <c r="UBS488" s="4"/>
      <c r="UBT488" s="4"/>
      <c r="UBU488" s="4"/>
      <c r="UBV488" s="4"/>
      <c r="UBW488" s="4"/>
      <c r="UBX488" s="4"/>
      <c r="UBY488" s="4"/>
      <c r="UBZ488" s="4"/>
      <c r="UCA488" s="4"/>
      <c r="UCB488" s="4"/>
      <c r="UCC488" s="4"/>
      <c r="UCD488" s="4"/>
      <c r="UCE488" s="4"/>
      <c r="UCF488" s="4"/>
      <c r="UCG488" s="4"/>
      <c r="UCH488" s="4"/>
      <c r="UCI488" s="4"/>
      <c r="UCJ488" s="4"/>
      <c r="UCK488" s="4"/>
      <c r="UCL488" s="4"/>
      <c r="UCM488" s="4"/>
      <c r="UCN488" s="4"/>
      <c r="UCO488" s="4"/>
      <c r="UCP488" s="4"/>
      <c r="UCQ488" s="4"/>
      <c r="UCR488" s="4"/>
      <c r="UCS488" s="4"/>
      <c r="UCT488" s="4"/>
      <c r="UCU488" s="4"/>
      <c r="UCV488" s="4"/>
      <c r="UCW488" s="4"/>
      <c r="UCX488" s="4"/>
      <c r="UCY488" s="4"/>
      <c r="UCZ488" s="4"/>
      <c r="UDA488" s="4"/>
      <c r="UDB488" s="4"/>
      <c r="UDC488" s="4"/>
      <c r="UDD488" s="4"/>
      <c r="UDE488" s="4"/>
      <c r="UDF488" s="4"/>
      <c r="UDG488" s="4"/>
      <c r="UDH488" s="4"/>
      <c r="UDI488" s="4"/>
      <c r="UDJ488" s="4"/>
      <c r="UDK488" s="4"/>
      <c r="UDL488" s="4"/>
      <c r="UDM488" s="4"/>
      <c r="UDN488" s="4"/>
      <c r="UDO488" s="4"/>
      <c r="UDP488" s="4"/>
      <c r="UDQ488" s="4"/>
      <c r="UDR488" s="4"/>
      <c r="UDS488" s="4"/>
      <c r="UDT488" s="4"/>
      <c r="UDU488" s="4"/>
      <c r="UDV488" s="4"/>
      <c r="UDW488" s="4"/>
      <c r="UDX488" s="4"/>
      <c r="UDY488" s="4"/>
      <c r="UDZ488" s="4"/>
      <c r="UEA488" s="4"/>
      <c r="UEB488" s="4"/>
      <c r="UEC488" s="4"/>
      <c r="UED488" s="4"/>
      <c r="UEE488" s="4"/>
      <c r="UEF488" s="4"/>
      <c r="UEG488" s="4"/>
      <c r="UEH488" s="4"/>
      <c r="UEI488" s="4"/>
      <c r="UEJ488" s="4"/>
      <c r="UEK488" s="4"/>
      <c r="UEL488" s="4"/>
      <c r="UEM488" s="4"/>
      <c r="UEN488" s="4"/>
      <c r="UEO488" s="4"/>
      <c r="UEP488" s="4"/>
      <c r="UEQ488" s="4"/>
      <c r="UER488" s="4"/>
      <c r="UES488" s="4"/>
      <c r="UET488" s="4"/>
      <c r="UEU488" s="4"/>
      <c r="UEV488" s="4"/>
      <c r="UEW488" s="4"/>
      <c r="UEX488" s="4"/>
      <c r="UEY488" s="4"/>
      <c r="UEZ488" s="4"/>
      <c r="UFA488" s="4"/>
      <c r="UFB488" s="4"/>
      <c r="UFC488" s="4"/>
      <c r="UFD488" s="4"/>
      <c r="UFE488" s="4"/>
      <c r="UFF488" s="4"/>
      <c r="UFG488" s="4"/>
      <c r="UFH488" s="4"/>
      <c r="UFI488" s="4"/>
      <c r="UFJ488" s="4"/>
      <c r="UFK488" s="4"/>
      <c r="UFL488" s="4"/>
      <c r="UFM488" s="4"/>
      <c r="UFN488" s="4"/>
      <c r="UFO488" s="4"/>
      <c r="UFP488" s="4"/>
      <c r="UFQ488" s="4"/>
      <c r="UFR488" s="4"/>
      <c r="UFS488" s="4"/>
      <c r="UFT488" s="4"/>
      <c r="UFU488" s="4"/>
      <c r="UFV488" s="4"/>
      <c r="UFW488" s="4"/>
      <c r="UFX488" s="4"/>
      <c r="UFY488" s="4"/>
      <c r="UFZ488" s="4"/>
      <c r="UGA488" s="4"/>
      <c r="UGB488" s="4"/>
      <c r="UGC488" s="4"/>
      <c r="UGD488" s="4"/>
      <c r="UGE488" s="4"/>
      <c r="UGF488" s="4"/>
      <c r="UGG488" s="4"/>
      <c r="UGH488" s="4"/>
      <c r="UGI488" s="4"/>
      <c r="UGJ488" s="4"/>
      <c r="UGK488" s="4"/>
      <c r="UGL488" s="4"/>
      <c r="UGM488" s="4"/>
      <c r="UGN488" s="4"/>
      <c r="UGO488" s="4"/>
      <c r="UGP488" s="4"/>
      <c r="UGQ488" s="4"/>
      <c r="UGR488" s="4"/>
      <c r="UGS488" s="4"/>
      <c r="UGT488" s="4"/>
      <c r="UGU488" s="4"/>
      <c r="UGV488" s="4"/>
      <c r="UGW488" s="4"/>
      <c r="UGX488" s="4"/>
      <c r="UGY488" s="4"/>
      <c r="UGZ488" s="4"/>
      <c r="UHA488" s="4"/>
      <c r="UHB488" s="4"/>
      <c r="UHC488" s="4"/>
      <c r="UHD488" s="4"/>
      <c r="UHE488" s="4"/>
      <c r="UHF488" s="4"/>
      <c r="UHG488" s="4"/>
      <c r="UHH488" s="4"/>
      <c r="UHI488" s="4"/>
      <c r="UHJ488" s="4"/>
      <c r="UHK488" s="4"/>
      <c r="UHL488" s="4"/>
      <c r="UHM488" s="4"/>
      <c r="UHN488" s="4"/>
      <c r="UHO488" s="4"/>
      <c r="UHP488" s="4"/>
      <c r="UHQ488" s="4"/>
      <c r="UHR488" s="4"/>
      <c r="UHS488" s="4"/>
      <c r="UHT488" s="4"/>
      <c r="UHU488" s="4"/>
      <c r="UHV488" s="4"/>
      <c r="UHW488" s="4"/>
      <c r="UHX488" s="4"/>
      <c r="UHY488" s="4"/>
      <c r="UHZ488" s="4"/>
      <c r="UIA488" s="4"/>
      <c r="UIB488" s="4"/>
      <c r="UIC488" s="4"/>
      <c r="UID488" s="4"/>
      <c r="UIE488" s="4"/>
      <c r="UIF488" s="4"/>
      <c r="UIG488" s="4"/>
      <c r="UIH488" s="4"/>
      <c r="UII488" s="4"/>
      <c r="UIJ488" s="4"/>
      <c r="UIK488" s="4"/>
      <c r="UIL488" s="4"/>
      <c r="UIM488" s="4"/>
      <c r="UIN488" s="4"/>
      <c r="UIO488" s="4"/>
      <c r="UIP488" s="4"/>
      <c r="UIQ488" s="4"/>
      <c r="UIR488" s="4"/>
      <c r="UIS488" s="4"/>
      <c r="UIT488" s="4"/>
      <c r="UIU488" s="4"/>
      <c r="UIV488" s="4"/>
      <c r="UIW488" s="4"/>
      <c r="UIX488" s="4"/>
      <c r="UIY488" s="4"/>
      <c r="UIZ488" s="4"/>
      <c r="UJA488" s="4"/>
      <c r="UJB488" s="4"/>
      <c r="UJC488" s="4"/>
      <c r="UJD488" s="4"/>
      <c r="UJE488" s="4"/>
      <c r="UJF488" s="4"/>
      <c r="UJG488" s="4"/>
      <c r="UJH488" s="4"/>
      <c r="UJI488" s="4"/>
      <c r="UJJ488" s="4"/>
      <c r="UJK488" s="4"/>
      <c r="UJL488" s="4"/>
      <c r="UJM488" s="4"/>
      <c r="UJN488" s="4"/>
      <c r="UJO488" s="4"/>
      <c r="UJP488" s="4"/>
      <c r="UJQ488" s="4"/>
      <c r="UJR488" s="4"/>
      <c r="UJS488" s="4"/>
      <c r="UJT488" s="4"/>
      <c r="UJU488" s="4"/>
      <c r="UJV488" s="4"/>
      <c r="UJW488" s="4"/>
      <c r="UJX488" s="4"/>
      <c r="UJY488" s="4"/>
      <c r="UJZ488" s="4"/>
      <c r="UKA488" s="4"/>
      <c r="UKB488" s="4"/>
      <c r="UKC488" s="4"/>
      <c r="UKD488" s="4"/>
      <c r="UKE488" s="4"/>
      <c r="UKF488" s="4"/>
      <c r="UKG488" s="4"/>
      <c r="UKH488" s="4"/>
      <c r="UKI488" s="4"/>
      <c r="UKJ488" s="4"/>
      <c r="UKK488" s="4"/>
      <c r="UKL488" s="4"/>
      <c r="UKM488" s="4"/>
      <c r="UKN488" s="4"/>
      <c r="UKO488" s="4"/>
      <c r="UKP488" s="4"/>
      <c r="UKQ488" s="4"/>
      <c r="UKR488" s="4"/>
      <c r="UKS488" s="4"/>
      <c r="UKT488" s="4"/>
      <c r="UKU488" s="4"/>
      <c r="UKV488" s="4"/>
      <c r="UKW488" s="4"/>
      <c r="UKX488" s="4"/>
      <c r="UKY488" s="4"/>
      <c r="UKZ488" s="4"/>
      <c r="ULA488" s="4"/>
      <c r="ULB488" s="4"/>
      <c r="ULC488" s="4"/>
      <c r="ULD488" s="4"/>
      <c r="ULE488" s="4"/>
      <c r="ULF488" s="4"/>
      <c r="ULG488" s="4"/>
      <c r="ULH488" s="4"/>
      <c r="ULI488" s="4"/>
      <c r="ULJ488" s="4"/>
      <c r="ULK488" s="4"/>
      <c r="ULL488" s="4"/>
      <c r="ULM488" s="4"/>
      <c r="ULN488" s="4"/>
      <c r="ULO488" s="4"/>
      <c r="ULP488" s="4"/>
      <c r="ULQ488" s="4"/>
      <c r="ULR488" s="4"/>
      <c r="ULS488" s="4"/>
      <c r="ULT488" s="4"/>
      <c r="ULU488" s="4"/>
      <c r="ULV488" s="4"/>
      <c r="ULW488" s="4"/>
      <c r="ULX488" s="4"/>
      <c r="ULY488" s="4"/>
      <c r="ULZ488" s="4"/>
      <c r="UMA488" s="4"/>
      <c r="UMB488" s="4"/>
      <c r="UMC488" s="4"/>
      <c r="UMD488" s="4"/>
      <c r="UME488" s="4"/>
      <c r="UMF488" s="4"/>
      <c r="UMG488" s="4"/>
      <c r="UMH488" s="4"/>
      <c r="UMI488" s="4"/>
      <c r="UMJ488" s="4"/>
      <c r="UMK488" s="4"/>
      <c r="UML488" s="4"/>
      <c r="UMM488" s="4"/>
      <c r="UMN488" s="4"/>
      <c r="UMO488" s="4"/>
      <c r="UMP488" s="4"/>
      <c r="UMQ488" s="4"/>
      <c r="UMR488" s="4"/>
      <c r="UMS488" s="4"/>
      <c r="UMT488" s="4"/>
      <c r="UMU488" s="4"/>
      <c r="UMV488" s="4"/>
      <c r="UMW488" s="4"/>
      <c r="UMX488" s="4"/>
      <c r="UMY488" s="4"/>
      <c r="UMZ488" s="4"/>
      <c r="UNA488" s="4"/>
      <c r="UNB488" s="4"/>
      <c r="UNC488" s="4"/>
      <c r="UND488" s="4"/>
      <c r="UNE488" s="4"/>
      <c r="UNF488" s="4"/>
      <c r="UNG488" s="4"/>
      <c r="UNH488" s="4"/>
      <c r="UNI488" s="4"/>
      <c r="UNJ488" s="4"/>
      <c r="UNK488" s="4"/>
      <c r="UNL488" s="4"/>
      <c r="UNM488" s="4"/>
      <c r="UNN488" s="4"/>
      <c r="UNO488" s="4"/>
      <c r="UNP488" s="4"/>
      <c r="UNQ488" s="4"/>
      <c r="UNR488" s="4"/>
      <c r="UNS488" s="4"/>
      <c r="UNT488" s="4"/>
      <c r="UNU488" s="4"/>
      <c r="UNV488" s="4"/>
      <c r="UNW488" s="4"/>
      <c r="UNX488" s="4"/>
      <c r="UNY488" s="4"/>
      <c r="UNZ488" s="4"/>
      <c r="UOA488" s="4"/>
      <c r="UOB488" s="4"/>
      <c r="UOC488" s="4"/>
      <c r="UOD488" s="4"/>
      <c r="UOE488" s="4"/>
      <c r="UOF488" s="4"/>
      <c r="UOG488" s="4"/>
      <c r="UOH488" s="4"/>
      <c r="UOI488" s="4"/>
      <c r="UOJ488" s="4"/>
      <c r="UOK488" s="4"/>
      <c r="UOL488" s="4"/>
      <c r="UOM488" s="4"/>
      <c r="UON488" s="4"/>
      <c r="UOO488" s="4"/>
      <c r="UOP488" s="4"/>
      <c r="UOQ488" s="4"/>
      <c r="UOR488" s="4"/>
      <c r="UOS488" s="4"/>
      <c r="UOT488" s="4"/>
      <c r="UOU488" s="4"/>
      <c r="UOV488" s="4"/>
      <c r="UOW488" s="4"/>
      <c r="UOX488" s="4"/>
      <c r="UOY488" s="4"/>
      <c r="UOZ488" s="4"/>
      <c r="UPA488" s="4"/>
      <c r="UPB488" s="4"/>
      <c r="UPC488" s="4"/>
      <c r="UPD488" s="4"/>
      <c r="UPE488" s="4"/>
      <c r="UPF488" s="4"/>
      <c r="UPG488" s="4"/>
      <c r="UPH488" s="4"/>
      <c r="UPI488" s="4"/>
      <c r="UPJ488" s="4"/>
      <c r="UPK488" s="4"/>
      <c r="UPL488" s="4"/>
      <c r="UPM488" s="4"/>
      <c r="UPN488" s="4"/>
      <c r="UPO488" s="4"/>
      <c r="UPP488" s="4"/>
      <c r="UPQ488" s="4"/>
      <c r="UPR488" s="4"/>
      <c r="UPS488" s="4"/>
      <c r="UPT488" s="4"/>
      <c r="UPU488" s="4"/>
      <c r="UPV488" s="4"/>
      <c r="UPW488" s="4"/>
      <c r="UPX488" s="4"/>
      <c r="UPY488" s="4"/>
      <c r="UPZ488" s="4"/>
      <c r="UQA488" s="4"/>
      <c r="UQB488" s="4"/>
      <c r="UQC488" s="4"/>
      <c r="UQD488" s="4"/>
      <c r="UQE488" s="4"/>
      <c r="UQF488" s="4"/>
      <c r="UQG488" s="4"/>
      <c r="UQH488" s="4"/>
      <c r="UQI488" s="4"/>
      <c r="UQJ488" s="4"/>
      <c r="UQK488" s="4"/>
      <c r="UQL488" s="4"/>
      <c r="UQM488" s="4"/>
      <c r="UQN488" s="4"/>
      <c r="UQO488" s="4"/>
      <c r="UQP488" s="4"/>
      <c r="UQQ488" s="4"/>
      <c r="UQR488" s="4"/>
      <c r="UQS488" s="4"/>
      <c r="UQT488" s="4"/>
      <c r="UQU488" s="4"/>
      <c r="UQV488" s="4"/>
      <c r="UQW488" s="4"/>
      <c r="UQX488" s="4"/>
      <c r="UQY488" s="4"/>
      <c r="UQZ488" s="4"/>
      <c r="URA488" s="4"/>
      <c r="URB488" s="4"/>
      <c r="URC488" s="4"/>
      <c r="URD488" s="4"/>
      <c r="URE488" s="4"/>
      <c r="URF488" s="4"/>
      <c r="URG488" s="4"/>
      <c r="URH488" s="4"/>
      <c r="URI488" s="4"/>
      <c r="URJ488" s="4"/>
      <c r="URK488" s="4"/>
      <c r="URL488" s="4"/>
      <c r="URM488" s="4"/>
      <c r="URN488" s="4"/>
      <c r="URO488" s="4"/>
      <c r="URP488" s="4"/>
      <c r="URQ488" s="4"/>
      <c r="URR488" s="4"/>
      <c r="URS488" s="4"/>
      <c r="URT488" s="4"/>
      <c r="URU488" s="4"/>
      <c r="URV488" s="4"/>
      <c r="URW488" s="4"/>
      <c r="URX488" s="4"/>
      <c r="URY488" s="4"/>
      <c r="URZ488" s="4"/>
      <c r="USA488" s="4"/>
      <c r="USB488" s="4"/>
      <c r="USC488" s="4"/>
      <c r="USD488" s="4"/>
      <c r="USE488" s="4"/>
      <c r="USF488" s="4"/>
      <c r="USG488" s="4"/>
      <c r="USH488" s="4"/>
      <c r="USI488" s="4"/>
      <c r="USJ488" s="4"/>
      <c r="USK488" s="4"/>
      <c r="USL488" s="4"/>
      <c r="USM488" s="4"/>
      <c r="USN488" s="4"/>
      <c r="USO488" s="4"/>
      <c r="USP488" s="4"/>
      <c r="USQ488" s="4"/>
      <c r="USR488" s="4"/>
      <c r="USS488" s="4"/>
      <c r="UST488" s="4"/>
      <c r="USU488" s="4"/>
      <c r="USV488" s="4"/>
      <c r="USW488" s="4"/>
      <c r="USX488" s="4"/>
      <c r="USY488" s="4"/>
      <c r="USZ488" s="4"/>
      <c r="UTA488" s="4"/>
      <c r="UTB488" s="4"/>
      <c r="UTC488" s="4"/>
      <c r="UTD488" s="4"/>
      <c r="UTE488" s="4"/>
      <c r="UTF488" s="4"/>
      <c r="UTG488" s="4"/>
      <c r="UTH488" s="4"/>
      <c r="UTI488" s="4"/>
      <c r="UTJ488" s="4"/>
      <c r="UTK488" s="4"/>
      <c r="UTL488" s="4"/>
      <c r="UTM488" s="4"/>
      <c r="UTN488" s="4"/>
      <c r="UTO488" s="4"/>
      <c r="UTP488" s="4"/>
      <c r="UTQ488" s="4"/>
      <c r="UTR488" s="4"/>
      <c r="UTS488" s="4"/>
      <c r="UTT488" s="4"/>
      <c r="UTU488" s="4"/>
      <c r="UTV488" s="4"/>
      <c r="UTW488" s="4"/>
      <c r="UTX488" s="4"/>
      <c r="UTY488" s="4"/>
      <c r="UTZ488" s="4"/>
      <c r="UUA488" s="4"/>
      <c r="UUB488" s="4"/>
      <c r="UUC488" s="4"/>
      <c r="UUD488" s="4"/>
      <c r="UUE488" s="4"/>
      <c r="UUF488" s="4"/>
      <c r="UUG488" s="4"/>
      <c r="UUH488" s="4"/>
      <c r="UUI488" s="4"/>
      <c r="UUJ488" s="4"/>
      <c r="UUK488" s="4"/>
      <c r="UUL488" s="4"/>
      <c r="UUM488" s="4"/>
      <c r="UUN488" s="4"/>
      <c r="UUO488" s="4"/>
      <c r="UUP488" s="4"/>
      <c r="UUQ488" s="4"/>
      <c r="UUR488" s="4"/>
      <c r="UUS488" s="4"/>
      <c r="UUT488" s="4"/>
      <c r="UUU488" s="4"/>
      <c r="UUV488" s="4"/>
      <c r="UUW488" s="4"/>
      <c r="UUX488" s="4"/>
      <c r="UUY488" s="4"/>
      <c r="UUZ488" s="4"/>
      <c r="UVA488" s="4"/>
      <c r="UVB488" s="4"/>
      <c r="UVC488" s="4"/>
      <c r="UVD488" s="4"/>
      <c r="UVE488" s="4"/>
      <c r="UVF488" s="4"/>
      <c r="UVG488" s="4"/>
      <c r="UVH488" s="4"/>
      <c r="UVI488" s="4"/>
      <c r="UVJ488" s="4"/>
      <c r="UVK488" s="4"/>
      <c r="UVL488" s="4"/>
      <c r="UVM488" s="4"/>
      <c r="UVN488" s="4"/>
      <c r="UVO488" s="4"/>
      <c r="UVP488" s="4"/>
      <c r="UVQ488" s="4"/>
      <c r="UVR488" s="4"/>
      <c r="UVS488" s="4"/>
      <c r="UVT488" s="4"/>
      <c r="UVU488" s="4"/>
      <c r="UVV488" s="4"/>
      <c r="UVW488" s="4"/>
      <c r="UVX488" s="4"/>
      <c r="UVY488" s="4"/>
      <c r="UVZ488" s="4"/>
      <c r="UWA488" s="4"/>
      <c r="UWB488" s="4"/>
      <c r="UWC488" s="4"/>
      <c r="UWD488" s="4"/>
      <c r="UWE488" s="4"/>
      <c r="UWF488" s="4"/>
      <c r="UWG488" s="4"/>
      <c r="UWH488" s="4"/>
      <c r="UWI488" s="4"/>
      <c r="UWJ488" s="4"/>
      <c r="UWK488" s="4"/>
      <c r="UWL488" s="4"/>
      <c r="UWM488" s="4"/>
      <c r="UWN488" s="4"/>
      <c r="UWO488" s="4"/>
      <c r="UWP488" s="4"/>
      <c r="UWQ488" s="4"/>
      <c r="UWR488" s="4"/>
      <c r="UWS488" s="4"/>
      <c r="UWT488" s="4"/>
      <c r="UWU488" s="4"/>
      <c r="UWV488" s="4"/>
      <c r="UWW488" s="4"/>
      <c r="UWX488" s="4"/>
      <c r="UWY488" s="4"/>
      <c r="UWZ488" s="4"/>
      <c r="UXA488" s="4"/>
      <c r="UXB488" s="4"/>
      <c r="UXC488" s="4"/>
      <c r="UXD488" s="4"/>
      <c r="UXE488" s="4"/>
      <c r="UXF488" s="4"/>
      <c r="UXG488" s="4"/>
      <c r="UXH488" s="4"/>
      <c r="UXI488" s="4"/>
      <c r="UXJ488" s="4"/>
      <c r="UXK488" s="4"/>
      <c r="UXL488" s="4"/>
      <c r="UXM488" s="4"/>
      <c r="UXN488" s="4"/>
      <c r="UXO488" s="4"/>
      <c r="UXP488" s="4"/>
      <c r="UXQ488" s="4"/>
      <c r="UXR488" s="4"/>
      <c r="UXS488" s="4"/>
      <c r="UXT488" s="4"/>
      <c r="UXU488" s="4"/>
      <c r="UXV488" s="4"/>
      <c r="UXW488" s="4"/>
      <c r="UXX488" s="4"/>
      <c r="UXY488" s="4"/>
      <c r="UXZ488" s="4"/>
      <c r="UYA488" s="4"/>
      <c r="UYB488" s="4"/>
      <c r="UYC488" s="4"/>
      <c r="UYD488" s="4"/>
      <c r="UYE488" s="4"/>
      <c r="UYF488" s="4"/>
      <c r="UYG488" s="4"/>
      <c r="UYH488" s="4"/>
      <c r="UYI488" s="4"/>
      <c r="UYJ488" s="4"/>
      <c r="UYK488" s="4"/>
      <c r="UYL488" s="4"/>
      <c r="UYM488" s="4"/>
      <c r="UYN488" s="4"/>
      <c r="UYO488" s="4"/>
      <c r="UYP488" s="4"/>
      <c r="UYQ488" s="4"/>
      <c r="UYR488" s="4"/>
      <c r="UYS488" s="4"/>
      <c r="UYT488" s="4"/>
      <c r="UYU488" s="4"/>
      <c r="UYV488" s="4"/>
      <c r="UYW488" s="4"/>
      <c r="UYX488" s="4"/>
      <c r="UYY488" s="4"/>
      <c r="UYZ488" s="4"/>
      <c r="UZA488" s="4"/>
      <c r="UZB488" s="4"/>
      <c r="UZC488" s="4"/>
      <c r="UZD488" s="4"/>
      <c r="UZE488" s="4"/>
      <c r="UZF488" s="4"/>
      <c r="UZG488" s="4"/>
      <c r="UZH488" s="4"/>
      <c r="UZI488" s="4"/>
      <c r="UZJ488" s="4"/>
      <c r="UZK488" s="4"/>
      <c r="UZL488" s="4"/>
      <c r="UZM488" s="4"/>
      <c r="UZN488" s="4"/>
      <c r="UZO488" s="4"/>
      <c r="UZP488" s="4"/>
      <c r="UZQ488" s="4"/>
      <c r="UZR488" s="4"/>
      <c r="UZS488" s="4"/>
      <c r="UZT488" s="4"/>
      <c r="UZU488" s="4"/>
      <c r="UZV488" s="4"/>
      <c r="UZW488" s="4"/>
      <c r="UZX488" s="4"/>
      <c r="UZY488" s="4"/>
      <c r="UZZ488" s="4"/>
      <c r="VAA488" s="4"/>
      <c r="VAB488" s="4"/>
      <c r="VAC488" s="4"/>
      <c r="VAD488" s="4"/>
      <c r="VAE488" s="4"/>
      <c r="VAF488" s="4"/>
      <c r="VAG488" s="4"/>
      <c r="VAH488" s="4"/>
      <c r="VAI488" s="4"/>
      <c r="VAJ488" s="4"/>
      <c r="VAK488" s="4"/>
      <c r="VAL488" s="4"/>
      <c r="VAM488" s="4"/>
      <c r="VAN488" s="4"/>
      <c r="VAO488" s="4"/>
      <c r="VAP488" s="4"/>
      <c r="VAQ488" s="4"/>
      <c r="VAR488" s="4"/>
      <c r="VAS488" s="4"/>
      <c r="VAT488" s="4"/>
      <c r="VAU488" s="4"/>
      <c r="VAV488" s="4"/>
      <c r="VAW488" s="4"/>
      <c r="VAX488" s="4"/>
      <c r="VAY488" s="4"/>
      <c r="VAZ488" s="4"/>
      <c r="VBA488" s="4"/>
      <c r="VBB488" s="4"/>
      <c r="VBC488" s="4"/>
      <c r="VBD488" s="4"/>
      <c r="VBE488" s="4"/>
      <c r="VBF488" s="4"/>
      <c r="VBG488" s="4"/>
      <c r="VBH488" s="4"/>
      <c r="VBI488" s="4"/>
      <c r="VBJ488" s="4"/>
      <c r="VBK488" s="4"/>
      <c r="VBL488" s="4"/>
      <c r="VBM488" s="4"/>
      <c r="VBN488" s="4"/>
      <c r="VBO488" s="4"/>
      <c r="VBP488" s="4"/>
      <c r="VBQ488" s="4"/>
      <c r="VBR488" s="4"/>
      <c r="VBS488" s="4"/>
      <c r="VBT488" s="4"/>
      <c r="VBU488" s="4"/>
      <c r="VBV488" s="4"/>
      <c r="VBW488" s="4"/>
      <c r="VBX488" s="4"/>
      <c r="VBY488" s="4"/>
      <c r="VBZ488" s="4"/>
      <c r="VCA488" s="4"/>
      <c r="VCB488" s="4"/>
      <c r="VCC488" s="4"/>
      <c r="VCD488" s="4"/>
      <c r="VCE488" s="4"/>
      <c r="VCF488" s="4"/>
      <c r="VCG488" s="4"/>
      <c r="VCH488" s="4"/>
      <c r="VCI488" s="4"/>
      <c r="VCJ488" s="4"/>
      <c r="VCK488" s="4"/>
      <c r="VCL488" s="4"/>
      <c r="VCM488" s="4"/>
      <c r="VCN488" s="4"/>
      <c r="VCO488" s="4"/>
      <c r="VCP488" s="4"/>
      <c r="VCQ488" s="4"/>
      <c r="VCR488" s="4"/>
      <c r="VCS488" s="4"/>
      <c r="VCT488" s="4"/>
      <c r="VCU488" s="4"/>
      <c r="VCV488" s="4"/>
      <c r="VCW488" s="4"/>
      <c r="VCX488" s="4"/>
      <c r="VCY488" s="4"/>
      <c r="VCZ488" s="4"/>
      <c r="VDA488" s="4"/>
      <c r="VDB488" s="4"/>
      <c r="VDC488" s="4"/>
      <c r="VDD488" s="4"/>
      <c r="VDE488" s="4"/>
      <c r="VDF488" s="4"/>
      <c r="VDG488" s="4"/>
      <c r="VDH488" s="4"/>
      <c r="VDI488" s="4"/>
      <c r="VDJ488" s="4"/>
      <c r="VDK488" s="4"/>
      <c r="VDL488" s="4"/>
      <c r="VDM488" s="4"/>
      <c r="VDN488" s="4"/>
      <c r="VDO488" s="4"/>
      <c r="VDP488" s="4"/>
      <c r="VDQ488" s="4"/>
      <c r="VDR488" s="4"/>
      <c r="VDS488" s="4"/>
      <c r="VDT488" s="4"/>
      <c r="VDU488" s="4"/>
      <c r="VDV488" s="4"/>
      <c r="VDW488" s="4"/>
      <c r="VDX488" s="4"/>
      <c r="VDY488" s="4"/>
      <c r="VDZ488" s="4"/>
      <c r="VEA488" s="4"/>
      <c r="VEB488" s="4"/>
      <c r="VEC488" s="4"/>
      <c r="VED488" s="4"/>
      <c r="VEE488" s="4"/>
      <c r="VEF488" s="4"/>
      <c r="VEG488" s="4"/>
      <c r="VEH488" s="4"/>
      <c r="VEI488" s="4"/>
      <c r="VEJ488" s="4"/>
      <c r="VEK488" s="4"/>
      <c r="VEL488" s="4"/>
      <c r="VEM488" s="4"/>
      <c r="VEN488" s="4"/>
      <c r="VEO488" s="4"/>
      <c r="VEP488" s="4"/>
      <c r="VEQ488" s="4"/>
      <c r="VER488" s="4"/>
      <c r="VES488" s="4"/>
      <c r="VET488" s="4"/>
      <c r="VEU488" s="4"/>
      <c r="VEV488" s="4"/>
      <c r="VEW488" s="4"/>
      <c r="VEX488" s="4"/>
      <c r="VEY488" s="4"/>
      <c r="VEZ488" s="4"/>
      <c r="VFA488" s="4"/>
      <c r="VFB488" s="4"/>
      <c r="VFC488" s="4"/>
      <c r="VFD488" s="4"/>
      <c r="VFE488" s="4"/>
      <c r="VFF488" s="4"/>
      <c r="VFG488" s="4"/>
      <c r="VFH488" s="4"/>
      <c r="VFI488" s="4"/>
      <c r="VFJ488" s="4"/>
      <c r="VFK488" s="4"/>
      <c r="VFL488" s="4"/>
      <c r="VFM488" s="4"/>
      <c r="VFN488" s="4"/>
      <c r="VFO488" s="4"/>
      <c r="VFP488" s="4"/>
      <c r="VFQ488" s="4"/>
      <c r="VFR488" s="4"/>
      <c r="VFS488" s="4"/>
      <c r="VFT488" s="4"/>
      <c r="VFU488" s="4"/>
      <c r="VFV488" s="4"/>
      <c r="VFW488" s="4"/>
      <c r="VFX488" s="4"/>
      <c r="VFY488" s="4"/>
      <c r="VFZ488" s="4"/>
      <c r="VGA488" s="4"/>
      <c r="VGB488" s="4"/>
      <c r="VGC488" s="4"/>
      <c r="VGD488" s="4"/>
      <c r="VGE488" s="4"/>
      <c r="VGF488" s="4"/>
      <c r="VGG488" s="4"/>
      <c r="VGH488" s="4"/>
      <c r="VGI488" s="4"/>
      <c r="VGJ488" s="4"/>
      <c r="VGK488" s="4"/>
      <c r="VGL488" s="4"/>
      <c r="VGM488" s="4"/>
      <c r="VGN488" s="4"/>
      <c r="VGO488" s="4"/>
      <c r="VGP488" s="4"/>
      <c r="VGQ488" s="4"/>
      <c r="VGR488" s="4"/>
      <c r="VGS488" s="4"/>
      <c r="VGT488" s="4"/>
      <c r="VGU488" s="4"/>
      <c r="VGV488" s="4"/>
      <c r="VGW488" s="4"/>
      <c r="VGX488" s="4"/>
      <c r="VGY488" s="4"/>
      <c r="VGZ488" s="4"/>
      <c r="VHA488" s="4"/>
      <c r="VHB488" s="4"/>
      <c r="VHC488" s="4"/>
      <c r="VHD488" s="4"/>
      <c r="VHE488" s="4"/>
      <c r="VHF488" s="4"/>
      <c r="VHG488" s="4"/>
      <c r="VHH488" s="4"/>
      <c r="VHI488" s="4"/>
      <c r="VHJ488" s="4"/>
      <c r="VHK488" s="4"/>
      <c r="VHL488" s="4"/>
      <c r="VHM488" s="4"/>
      <c r="VHN488" s="4"/>
      <c r="VHO488" s="4"/>
      <c r="VHP488" s="4"/>
      <c r="VHQ488" s="4"/>
      <c r="VHR488" s="4"/>
      <c r="VHS488" s="4"/>
      <c r="VHT488" s="4"/>
      <c r="VHU488" s="4"/>
      <c r="VHV488" s="4"/>
      <c r="VHW488" s="4"/>
      <c r="VHX488" s="4"/>
      <c r="VHY488" s="4"/>
      <c r="VHZ488" s="4"/>
      <c r="VIA488" s="4"/>
      <c r="VIB488" s="4"/>
      <c r="VIC488" s="4"/>
      <c r="VID488" s="4"/>
      <c r="VIE488" s="4"/>
      <c r="VIF488" s="4"/>
      <c r="VIG488" s="4"/>
      <c r="VIH488" s="4"/>
      <c r="VII488" s="4"/>
      <c r="VIJ488" s="4"/>
      <c r="VIK488" s="4"/>
      <c r="VIL488" s="4"/>
      <c r="VIM488" s="4"/>
      <c r="VIN488" s="4"/>
      <c r="VIO488" s="4"/>
      <c r="VIP488" s="4"/>
      <c r="VIQ488" s="4"/>
      <c r="VIR488" s="4"/>
      <c r="VIS488" s="4"/>
      <c r="VIT488" s="4"/>
      <c r="VIU488" s="4"/>
      <c r="VIV488" s="4"/>
      <c r="VIW488" s="4"/>
      <c r="VIX488" s="4"/>
      <c r="VIY488" s="4"/>
      <c r="VIZ488" s="4"/>
      <c r="VJA488" s="4"/>
      <c r="VJB488" s="4"/>
      <c r="VJC488" s="4"/>
      <c r="VJD488" s="4"/>
      <c r="VJE488" s="4"/>
      <c r="VJF488" s="4"/>
      <c r="VJG488" s="4"/>
      <c r="VJH488" s="4"/>
      <c r="VJI488" s="4"/>
      <c r="VJJ488" s="4"/>
      <c r="VJK488" s="4"/>
      <c r="VJL488" s="4"/>
      <c r="VJM488" s="4"/>
      <c r="VJN488" s="4"/>
      <c r="VJO488" s="4"/>
      <c r="VJP488" s="4"/>
      <c r="VJQ488" s="4"/>
      <c r="VJR488" s="4"/>
      <c r="VJS488" s="4"/>
      <c r="VJT488" s="4"/>
      <c r="VJU488" s="4"/>
      <c r="VJV488" s="4"/>
      <c r="VJW488" s="4"/>
      <c r="VJX488" s="4"/>
      <c r="VJY488" s="4"/>
      <c r="VJZ488" s="4"/>
      <c r="VKA488" s="4"/>
      <c r="VKB488" s="4"/>
      <c r="VKC488" s="4"/>
      <c r="VKD488" s="4"/>
      <c r="VKE488" s="4"/>
      <c r="VKF488" s="4"/>
      <c r="VKG488" s="4"/>
      <c r="VKH488" s="4"/>
      <c r="VKI488" s="4"/>
      <c r="VKJ488" s="4"/>
      <c r="VKK488" s="4"/>
      <c r="VKL488" s="4"/>
      <c r="VKM488" s="4"/>
      <c r="VKN488" s="4"/>
      <c r="VKO488" s="4"/>
      <c r="VKP488" s="4"/>
      <c r="VKQ488" s="4"/>
      <c r="VKR488" s="4"/>
      <c r="VKS488" s="4"/>
      <c r="VKT488" s="4"/>
      <c r="VKU488" s="4"/>
      <c r="VKV488" s="4"/>
      <c r="VKW488" s="4"/>
      <c r="VKX488" s="4"/>
      <c r="VKY488" s="4"/>
      <c r="VKZ488" s="4"/>
      <c r="VLA488" s="4"/>
      <c r="VLB488" s="4"/>
      <c r="VLC488" s="4"/>
      <c r="VLD488" s="4"/>
      <c r="VLE488" s="4"/>
      <c r="VLF488" s="4"/>
      <c r="VLG488" s="4"/>
      <c r="VLH488" s="4"/>
      <c r="VLI488" s="4"/>
      <c r="VLJ488" s="4"/>
      <c r="VLK488" s="4"/>
      <c r="VLL488" s="4"/>
      <c r="VLM488" s="4"/>
      <c r="VLN488" s="4"/>
      <c r="VLO488" s="4"/>
      <c r="VLP488" s="4"/>
      <c r="VLQ488" s="4"/>
      <c r="VLR488" s="4"/>
      <c r="VLS488" s="4"/>
      <c r="VLT488" s="4"/>
      <c r="VLU488" s="4"/>
      <c r="VLV488" s="4"/>
      <c r="VLW488" s="4"/>
      <c r="VLX488" s="4"/>
      <c r="VLY488" s="4"/>
      <c r="VLZ488" s="4"/>
      <c r="VMA488" s="4"/>
      <c r="VMB488" s="4"/>
      <c r="VMC488" s="4"/>
      <c r="VMD488" s="4"/>
      <c r="VME488" s="4"/>
      <c r="VMF488" s="4"/>
      <c r="VMG488" s="4"/>
      <c r="VMH488" s="4"/>
      <c r="VMI488" s="4"/>
      <c r="VMJ488" s="4"/>
      <c r="VMK488" s="4"/>
      <c r="VML488" s="4"/>
      <c r="VMM488" s="4"/>
      <c r="VMN488" s="4"/>
      <c r="VMO488" s="4"/>
      <c r="VMP488" s="4"/>
      <c r="VMQ488" s="4"/>
      <c r="VMR488" s="4"/>
      <c r="VMS488" s="4"/>
      <c r="VMT488" s="4"/>
      <c r="VMU488" s="4"/>
      <c r="VMV488" s="4"/>
      <c r="VMW488" s="4"/>
      <c r="VMX488" s="4"/>
      <c r="VMY488" s="4"/>
      <c r="VMZ488" s="4"/>
      <c r="VNA488" s="4"/>
      <c r="VNB488" s="4"/>
      <c r="VNC488" s="4"/>
      <c r="VND488" s="4"/>
      <c r="VNE488" s="4"/>
      <c r="VNF488" s="4"/>
      <c r="VNG488" s="4"/>
      <c r="VNH488" s="4"/>
      <c r="VNI488" s="4"/>
      <c r="VNJ488" s="4"/>
      <c r="VNK488" s="4"/>
      <c r="VNL488" s="4"/>
      <c r="VNM488" s="4"/>
      <c r="VNN488" s="4"/>
      <c r="VNO488" s="4"/>
      <c r="VNP488" s="4"/>
      <c r="VNQ488" s="4"/>
      <c r="VNR488" s="4"/>
      <c r="VNS488" s="4"/>
      <c r="VNT488" s="4"/>
      <c r="VNU488" s="4"/>
      <c r="VNV488" s="4"/>
      <c r="VNW488" s="4"/>
      <c r="VNX488" s="4"/>
      <c r="VNY488" s="4"/>
      <c r="VNZ488" s="4"/>
      <c r="VOA488" s="4"/>
      <c r="VOB488" s="4"/>
      <c r="VOC488" s="4"/>
      <c r="VOD488" s="4"/>
      <c r="VOE488" s="4"/>
      <c r="VOF488" s="4"/>
      <c r="VOG488" s="4"/>
      <c r="VOH488" s="4"/>
      <c r="VOI488" s="4"/>
      <c r="VOJ488" s="4"/>
      <c r="VOK488" s="4"/>
      <c r="VOL488" s="4"/>
      <c r="VOM488" s="4"/>
      <c r="VON488" s="4"/>
      <c r="VOO488" s="4"/>
      <c r="VOP488" s="4"/>
      <c r="VOQ488" s="4"/>
      <c r="VOR488" s="4"/>
      <c r="VOS488" s="4"/>
      <c r="VOT488" s="4"/>
      <c r="VOU488" s="4"/>
      <c r="VOV488" s="4"/>
      <c r="VOW488" s="4"/>
      <c r="VOX488" s="4"/>
      <c r="VOY488" s="4"/>
      <c r="VOZ488" s="4"/>
      <c r="VPA488" s="4"/>
      <c r="VPB488" s="4"/>
      <c r="VPC488" s="4"/>
      <c r="VPD488" s="4"/>
      <c r="VPE488" s="4"/>
      <c r="VPF488" s="4"/>
      <c r="VPG488" s="4"/>
      <c r="VPH488" s="4"/>
      <c r="VPI488" s="4"/>
      <c r="VPJ488" s="4"/>
      <c r="VPK488" s="4"/>
      <c r="VPL488" s="4"/>
      <c r="VPM488" s="4"/>
      <c r="VPN488" s="4"/>
      <c r="VPO488" s="4"/>
      <c r="VPP488" s="4"/>
      <c r="VPQ488" s="4"/>
      <c r="VPR488" s="4"/>
      <c r="VPS488" s="4"/>
      <c r="VPT488" s="4"/>
      <c r="VPU488" s="4"/>
      <c r="VPV488" s="4"/>
      <c r="VPW488" s="4"/>
      <c r="VPX488" s="4"/>
      <c r="VPY488" s="4"/>
      <c r="VPZ488" s="4"/>
      <c r="VQA488" s="4"/>
      <c r="VQB488" s="4"/>
      <c r="VQC488" s="4"/>
      <c r="VQD488" s="4"/>
      <c r="VQE488" s="4"/>
      <c r="VQF488" s="4"/>
      <c r="VQG488" s="4"/>
      <c r="VQH488" s="4"/>
      <c r="VQI488" s="4"/>
      <c r="VQJ488" s="4"/>
      <c r="VQK488" s="4"/>
      <c r="VQL488" s="4"/>
      <c r="VQM488" s="4"/>
      <c r="VQN488" s="4"/>
      <c r="VQO488" s="4"/>
      <c r="VQP488" s="4"/>
      <c r="VQQ488" s="4"/>
      <c r="VQR488" s="4"/>
      <c r="VQS488" s="4"/>
      <c r="VQT488" s="4"/>
      <c r="VQU488" s="4"/>
      <c r="VQV488" s="4"/>
      <c r="VQW488" s="4"/>
      <c r="VQX488" s="4"/>
      <c r="VQY488" s="4"/>
      <c r="VQZ488" s="4"/>
      <c r="VRA488" s="4"/>
      <c r="VRB488" s="4"/>
      <c r="VRC488" s="4"/>
      <c r="VRD488" s="4"/>
      <c r="VRE488" s="4"/>
      <c r="VRF488" s="4"/>
      <c r="VRG488" s="4"/>
      <c r="VRH488" s="4"/>
      <c r="VRI488" s="4"/>
      <c r="VRJ488" s="4"/>
      <c r="VRK488" s="4"/>
      <c r="VRL488" s="4"/>
      <c r="VRM488" s="4"/>
      <c r="VRN488" s="4"/>
      <c r="VRO488" s="4"/>
      <c r="VRP488" s="4"/>
      <c r="VRQ488" s="4"/>
      <c r="VRR488" s="4"/>
      <c r="VRS488" s="4"/>
      <c r="VRT488" s="4"/>
      <c r="VRU488" s="4"/>
      <c r="VRV488" s="4"/>
      <c r="VRW488" s="4"/>
      <c r="VRX488" s="4"/>
      <c r="VRY488" s="4"/>
      <c r="VRZ488" s="4"/>
      <c r="VSA488" s="4"/>
      <c r="VSB488" s="4"/>
      <c r="VSC488" s="4"/>
      <c r="VSD488" s="4"/>
      <c r="VSE488" s="4"/>
      <c r="VSF488" s="4"/>
      <c r="VSG488" s="4"/>
      <c r="VSH488" s="4"/>
      <c r="VSI488" s="4"/>
      <c r="VSJ488" s="4"/>
      <c r="VSK488" s="4"/>
      <c r="VSL488" s="4"/>
      <c r="VSM488" s="4"/>
      <c r="VSN488" s="4"/>
      <c r="VSO488" s="4"/>
      <c r="VSP488" s="4"/>
      <c r="VSQ488" s="4"/>
      <c r="VSR488" s="4"/>
      <c r="VSS488" s="4"/>
      <c r="VST488" s="4"/>
      <c r="VSU488" s="4"/>
      <c r="VSV488" s="4"/>
      <c r="VSW488" s="4"/>
      <c r="VSX488" s="4"/>
      <c r="VSY488" s="4"/>
      <c r="VSZ488" s="4"/>
      <c r="VTA488" s="4"/>
      <c r="VTB488" s="4"/>
      <c r="VTC488" s="4"/>
      <c r="VTD488" s="4"/>
      <c r="VTE488" s="4"/>
      <c r="VTF488" s="4"/>
      <c r="VTG488" s="4"/>
      <c r="VTH488" s="4"/>
      <c r="VTI488" s="4"/>
      <c r="VTJ488" s="4"/>
      <c r="VTK488" s="4"/>
      <c r="VTL488" s="4"/>
      <c r="VTM488" s="4"/>
      <c r="VTN488" s="4"/>
      <c r="VTO488" s="4"/>
      <c r="VTP488" s="4"/>
      <c r="VTQ488" s="4"/>
      <c r="VTR488" s="4"/>
      <c r="VTS488" s="4"/>
      <c r="VTT488" s="4"/>
      <c r="VTU488" s="4"/>
      <c r="VTV488" s="4"/>
      <c r="VTW488" s="4"/>
      <c r="VTX488" s="4"/>
      <c r="VTY488" s="4"/>
      <c r="VTZ488" s="4"/>
      <c r="VUA488" s="4"/>
      <c r="VUB488" s="4"/>
      <c r="VUC488" s="4"/>
      <c r="VUD488" s="4"/>
      <c r="VUE488" s="4"/>
      <c r="VUF488" s="4"/>
      <c r="VUG488" s="4"/>
      <c r="VUH488" s="4"/>
      <c r="VUI488" s="4"/>
      <c r="VUJ488" s="4"/>
      <c r="VUK488" s="4"/>
      <c r="VUL488" s="4"/>
      <c r="VUM488" s="4"/>
      <c r="VUN488" s="4"/>
      <c r="VUO488" s="4"/>
      <c r="VUP488" s="4"/>
      <c r="VUQ488" s="4"/>
      <c r="VUR488" s="4"/>
      <c r="VUS488" s="4"/>
      <c r="VUT488" s="4"/>
      <c r="VUU488" s="4"/>
      <c r="VUV488" s="4"/>
      <c r="VUW488" s="4"/>
      <c r="VUX488" s="4"/>
      <c r="VUY488" s="4"/>
      <c r="VUZ488" s="4"/>
      <c r="VVA488" s="4"/>
      <c r="VVB488" s="4"/>
      <c r="VVC488" s="4"/>
      <c r="VVD488" s="4"/>
      <c r="VVE488" s="4"/>
      <c r="VVF488" s="4"/>
      <c r="VVG488" s="4"/>
      <c r="VVH488" s="4"/>
      <c r="VVI488" s="4"/>
      <c r="VVJ488" s="4"/>
      <c r="VVK488" s="4"/>
      <c r="VVL488" s="4"/>
      <c r="VVM488" s="4"/>
      <c r="VVN488" s="4"/>
      <c r="VVO488" s="4"/>
      <c r="VVP488" s="4"/>
      <c r="VVQ488" s="4"/>
      <c r="VVR488" s="4"/>
      <c r="VVS488" s="4"/>
      <c r="VVT488" s="4"/>
      <c r="VVU488" s="4"/>
      <c r="VVV488" s="4"/>
      <c r="VVW488" s="4"/>
      <c r="VVX488" s="4"/>
      <c r="VVY488" s="4"/>
      <c r="VVZ488" s="4"/>
      <c r="VWA488" s="4"/>
      <c r="VWB488" s="4"/>
      <c r="VWC488" s="4"/>
      <c r="VWD488" s="4"/>
      <c r="VWE488" s="4"/>
      <c r="VWF488" s="4"/>
      <c r="VWG488" s="4"/>
      <c r="VWH488" s="4"/>
      <c r="VWI488" s="4"/>
      <c r="VWJ488" s="4"/>
      <c r="VWK488" s="4"/>
      <c r="VWL488" s="4"/>
      <c r="VWM488" s="4"/>
      <c r="VWN488" s="4"/>
      <c r="VWO488" s="4"/>
      <c r="VWP488" s="4"/>
      <c r="VWQ488" s="4"/>
      <c r="VWR488" s="4"/>
      <c r="VWS488" s="4"/>
      <c r="VWT488" s="4"/>
      <c r="VWU488" s="4"/>
      <c r="VWV488" s="4"/>
      <c r="VWW488" s="4"/>
      <c r="VWX488" s="4"/>
      <c r="VWY488" s="4"/>
      <c r="VWZ488" s="4"/>
      <c r="VXA488" s="4"/>
      <c r="VXB488" s="4"/>
      <c r="VXC488" s="4"/>
      <c r="VXD488" s="4"/>
      <c r="VXE488" s="4"/>
      <c r="VXF488" s="4"/>
      <c r="VXG488" s="4"/>
      <c r="VXH488" s="4"/>
      <c r="VXI488" s="4"/>
      <c r="VXJ488" s="4"/>
      <c r="VXK488" s="4"/>
      <c r="VXL488" s="4"/>
      <c r="VXM488" s="4"/>
      <c r="VXN488" s="4"/>
      <c r="VXO488" s="4"/>
      <c r="VXP488" s="4"/>
      <c r="VXQ488" s="4"/>
      <c r="VXR488" s="4"/>
      <c r="VXS488" s="4"/>
      <c r="VXT488" s="4"/>
      <c r="VXU488" s="4"/>
      <c r="VXV488" s="4"/>
      <c r="VXW488" s="4"/>
      <c r="VXX488" s="4"/>
      <c r="VXY488" s="4"/>
      <c r="VXZ488" s="4"/>
      <c r="VYA488" s="4"/>
      <c r="VYB488" s="4"/>
      <c r="VYC488" s="4"/>
      <c r="VYD488" s="4"/>
      <c r="VYE488" s="4"/>
      <c r="VYF488" s="4"/>
      <c r="VYG488" s="4"/>
      <c r="VYH488" s="4"/>
      <c r="VYI488" s="4"/>
      <c r="VYJ488" s="4"/>
      <c r="VYK488" s="4"/>
      <c r="VYL488" s="4"/>
      <c r="VYM488" s="4"/>
      <c r="VYN488" s="4"/>
      <c r="VYO488" s="4"/>
      <c r="VYP488" s="4"/>
      <c r="VYQ488" s="4"/>
      <c r="VYR488" s="4"/>
      <c r="VYS488" s="4"/>
      <c r="VYT488" s="4"/>
      <c r="VYU488" s="4"/>
      <c r="VYV488" s="4"/>
      <c r="VYW488" s="4"/>
      <c r="VYX488" s="4"/>
      <c r="VYY488" s="4"/>
      <c r="VYZ488" s="4"/>
      <c r="VZA488" s="4"/>
      <c r="VZB488" s="4"/>
      <c r="VZC488" s="4"/>
      <c r="VZD488" s="4"/>
      <c r="VZE488" s="4"/>
      <c r="VZF488" s="4"/>
      <c r="VZG488" s="4"/>
      <c r="VZH488" s="4"/>
      <c r="VZI488" s="4"/>
      <c r="VZJ488" s="4"/>
      <c r="VZK488" s="4"/>
      <c r="VZL488" s="4"/>
      <c r="VZM488" s="4"/>
      <c r="VZN488" s="4"/>
      <c r="VZO488" s="4"/>
      <c r="VZP488" s="4"/>
      <c r="VZQ488" s="4"/>
      <c r="VZR488" s="4"/>
      <c r="VZS488" s="4"/>
      <c r="VZT488" s="4"/>
      <c r="VZU488" s="4"/>
      <c r="VZV488" s="4"/>
      <c r="VZW488" s="4"/>
      <c r="VZX488" s="4"/>
      <c r="VZY488" s="4"/>
      <c r="VZZ488" s="4"/>
      <c r="WAA488" s="4"/>
      <c r="WAB488" s="4"/>
      <c r="WAC488" s="4"/>
      <c r="WAD488" s="4"/>
      <c r="WAE488" s="4"/>
      <c r="WAF488" s="4"/>
      <c r="WAG488" s="4"/>
      <c r="WAH488" s="4"/>
      <c r="WAI488" s="4"/>
      <c r="WAJ488" s="4"/>
      <c r="WAK488" s="4"/>
      <c r="WAL488" s="4"/>
      <c r="WAM488" s="4"/>
      <c r="WAN488" s="4"/>
      <c r="WAO488" s="4"/>
      <c r="WAP488" s="4"/>
      <c r="WAQ488" s="4"/>
      <c r="WAR488" s="4"/>
      <c r="WAS488" s="4"/>
      <c r="WAT488" s="4"/>
      <c r="WAU488" s="4"/>
      <c r="WAV488" s="4"/>
      <c r="WAW488" s="4"/>
      <c r="WAX488" s="4"/>
      <c r="WAY488" s="4"/>
      <c r="WAZ488" s="4"/>
      <c r="WBA488" s="4"/>
      <c r="WBB488" s="4"/>
      <c r="WBC488" s="4"/>
      <c r="WBD488" s="4"/>
      <c r="WBE488" s="4"/>
      <c r="WBF488" s="4"/>
      <c r="WBG488" s="4"/>
      <c r="WBH488" s="4"/>
      <c r="WBI488" s="4"/>
      <c r="WBJ488" s="4"/>
      <c r="WBK488" s="4"/>
      <c r="WBL488" s="4"/>
      <c r="WBM488" s="4"/>
      <c r="WBN488" s="4"/>
      <c r="WBO488" s="4"/>
      <c r="WBP488" s="4"/>
      <c r="WBQ488" s="4"/>
      <c r="WBR488" s="4"/>
      <c r="WBS488" s="4"/>
      <c r="WBT488" s="4"/>
      <c r="WBU488" s="4"/>
      <c r="WBV488" s="4"/>
      <c r="WBW488" s="4"/>
      <c r="WBX488" s="4"/>
      <c r="WBY488" s="4"/>
      <c r="WBZ488" s="4"/>
      <c r="WCA488" s="4"/>
      <c r="WCB488" s="4"/>
      <c r="WCC488" s="4"/>
      <c r="WCD488" s="4"/>
      <c r="WCE488" s="4"/>
      <c r="WCF488" s="4"/>
      <c r="WCG488" s="4"/>
      <c r="WCH488" s="4"/>
      <c r="WCI488" s="4"/>
      <c r="WCJ488" s="4"/>
      <c r="WCK488" s="4"/>
      <c r="WCL488" s="4"/>
      <c r="WCM488" s="4"/>
      <c r="WCN488" s="4"/>
      <c r="WCO488" s="4"/>
      <c r="WCP488" s="4"/>
      <c r="WCQ488" s="4"/>
      <c r="WCR488" s="4"/>
      <c r="WCS488" s="4"/>
      <c r="WCT488" s="4"/>
      <c r="WCU488" s="4"/>
      <c r="WCV488" s="4"/>
      <c r="WCW488" s="4"/>
      <c r="WCX488" s="4"/>
      <c r="WCY488" s="4"/>
      <c r="WCZ488" s="4"/>
      <c r="WDA488" s="4"/>
      <c r="WDB488" s="4"/>
      <c r="WDC488" s="4"/>
      <c r="WDD488" s="4"/>
      <c r="WDE488" s="4"/>
      <c r="WDF488" s="4"/>
      <c r="WDG488" s="4"/>
      <c r="WDH488" s="4"/>
      <c r="WDI488" s="4"/>
      <c r="WDJ488" s="4"/>
      <c r="WDK488" s="4"/>
      <c r="WDL488" s="4"/>
      <c r="WDM488" s="4"/>
      <c r="WDN488" s="4"/>
      <c r="WDO488" s="4"/>
      <c r="WDP488" s="4"/>
      <c r="WDQ488" s="4"/>
      <c r="WDR488" s="4"/>
      <c r="WDS488" s="4"/>
      <c r="WDT488" s="4"/>
      <c r="WDU488" s="4"/>
      <c r="WDV488" s="4"/>
      <c r="WDW488" s="4"/>
      <c r="WDX488" s="4"/>
      <c r="WDY488" s="4"/>
      <c r="WDZ488" s="4"/>
      <c r="WEA488" s="4"/>
      <c r="WEB488" s="4"/>
      <c r="WEC488" s="4"/>
      <c r="WED488" s="4"/>
      <c r="WEE488" s="4"/>
      <c r="WEF488" s="4"/>
      <c r="WEG488" s="4"/>
      <c r="WEH488" s="4"/>
      <c r="WEI488" s="4"/>
      <c r="WEJ488" s="4"/>
      <c r="WEK488" s="4"/>
      <c r="WEL488" s="4"/>
      <c r="WEM488" s="4"/>
      <c r="WEN488" s="4"/>
      <c r="WEO488" s="4"/>
      <c r="WEP488" s="4"/>
      <c r="WEQ488" s="4"/>
      <c r="WER488" s="4"/>
      <c r="WES488" s="4"/>
      <c r="WET488" s="4"/>
      <c r="WEU488" s="4"/>
      <c r="WEV488" s="4"/>
      <c r="WEW488" s="4"/>
      <c r="WEX488" s="4"/>
      <c r="WEY488" s="4"/>
      <c r="WEZ488" s="4"/>
      <c r="WFA488" s="4"/>
      <c r="WFB488" s="4"/>
      <c r="WFC488" s="4"/>
      <c r="WFD488" s="4"/>
      <c r="WFE488" s="4"/>
      <c r="WFF488" s="4"/>
      <c r="WFG488" s="4"/>
      <c r="WFH488" s="4"/>
      <c r="WFI488" s="4"/>
      <c r="WFJ488" s="4"/>
      <c r="WFK488" s="4"/>
      <c r="WFL488" s="4"/>
      <c r="WFM488" s="4"/>
      <c r="WFN488" s="4"/>
      <c r="WFO488" s="4"/>
      <c r="WFP488" s="4"/>
      <c r="WFQ488" s="4"/>
      <c r="WFR488" s="4"/>
      <c r="WFS488" s="4"/>
      <c r="WFT488" s="4"/>
      <c r="WFU488" s="4"/>
      <c r="WFV488" s="4"/>
      <c r="WFW488" s="4"/>
      <c r="WFX488" s="4"/>
      <c r="WFY488" s="4"/>
      <c r="WFZ488" s="4"/>
      <c r="WGA488" s="4"/>
      <c r="WGB488" s="4"/>
      <c r="WGC488" s="4"/>
      <c r="WGD488" s="4"/>
      <c r="WGE488" s="4"/>
      <c r="WGF488" s="4"/>
      <c r="WGG488" s="4"/>
      <c r="WGH488" s="4"/>
      <c r="WGI488" s="4"/>
      <c r="WGJ488" s="4"/>
      <c r="WGK488" s="4"/>
      <c r="WGL488" s="4"/>
      <c r="WGM488" s="4"/>
      <c r="WGN488" s="4"/>
      <c r="WGO488" s="4"/>
      <c r="WGP488" s="4"/>
      <c r="WGQ488" s="4"/>
      <c r="WGR488" s="4"/>
      <c r="WGS488" s="4"/>
      <c r="WGT488" s="4"/>
      <c r="WGU488" s="4"/>
      <c r="WGV488" s="4"/>
      <c r="WGW488" s="4"/>
      <c r="WGX488" s="4"/>
      <c r="WGY488" s="4"/>
      <c r="WGZ488" s="4"/>
      <c r="WHA488" s="4"/>
      <c r="WHB488" s="4"/>
      <c r="WHC488" s="4"/>
      <c r="WHD488" s="4"/>
      <c r="WHE488" s="4"/>
      <c r="WHF488" s="4"/>
      <c r="WHG488" s="4"/>
      <c r="WHH488" s="4"/>
      <c r="WHI488" s="4"/>
      <c r="WHJ488" s="4"/>
      <c r="WHK488" s="4"/>
      <c r="WHL488" s="4"/>
      <c r="WHM488" s="4"/>
      <c r="WHN488" s="4"/>
      <c r="WHO488" s="4"/>
      <c r="WHP488" s="4"/>
      <c r="WHQ488" s="4"/>
      <c r="WHR488" s="4"/>
      <c r="WHS488" s="4"/>
      <c r="WHT488" s="4"/>
      <c r="WHU488" s="4"/>
      <c r="WHV488" s="4"/>
      <c r="WHW488" s="4"/>
      <c r="WHX488" s="4"/>
      <c r="WHY488" s="4"/>
      <c r="WHZ488" s="4"/>
      <c r="WIA488" s="4"/>
      <c r="WIB488" s="4"/>
      <c r="WIC488" s="4"/>
      <c r="WID488" s="4"/>
      <c r="WIE488" s="4"/>
      <c r="WIF488" s="4"/>
      <c r="WIG488" s="4"/>
      <c r="WIH488" s="4"/>
      <c r="WII488" s="4"/>
      <c r="WIJ488" s="4"/>
      <c r="WIK488" s="4"/>
      <c r="WIL488" s="4"/>
      <c r="WIM488" s="4"/>
      <c r="WIN488" s="4"/>
      <c r="WIO488" s="4"/>
      <c r="WIP488" s="4"/>
      <c r="WIQ488" s="4"/>
      <c r="WIR488" s="4"/>
      <c r="WIS488" s="4"/>
      <c r="WIT488" s="4"/>
      <c r="WIU488" s="4"/>
      <c r="WIV488" s="4"/>
      <c r="WIW488" s="4"/>
      <c r="WIX488" s="4"/>
      <c r="WIY488" s="4"/>
      <c r="WIZ488" s="4"/>
      <c r="WJA488" s="4"/>
      <c r="WJB488" s="4"/>
      <c r="WJC488" s="4"/>
      <c r="WJD488" s="4"/>
      <c r="WJE488" s="4"/>
      <c r="WJF488" s="4"/>
      <c r="WJG488" s="4"/>
      <c r="WJH488" s="4"/>
      <c r="WJI488" s="4"/>
      <c r="WJJ488" s="4"/>
      <c r="WJK488" s="4"/>
      <c r="WJL488" s="4"/>
      <c r="WJM488" s="4"/>
      <c r="WJN488" s="4"/>
      <c r="WJO488" s="4"/>
      <c r="WJP488" s="4"/>
      <c r="WJQ488" s="4"/>
      <c r="WJR488" s="4"/>
      <c r="WJS488" s="4"/>
      <c r="WJT488" s="4"/>
      <c r="WJU488" s="4"/>
      <c r="WJV488" s="4"/>
      <c r="WJW488" s="4"/>
      <c r="WJX488" s="4"/>
      <c r="WJY488" s="4"/>
      <c r="WJZ488" s="4"/>
      <c r="WKA488" s="4"/>
      <c r="WKB488" s="4"/>
      <c r="WKC488" s="4"/>
      <c r="WKD488" s="4"/>
      <c r="WKE488" s="4"/>
      <c r="WKF488" s="4"/>
      <c r="WKG488" s="4"/>
      <c r="WKH488" s="4"/>
      <c r="WKI488" s="4"/>
      <c r="WKJ488" s="4"/>
      <c r="WKK488" s="4"/>
      <c r="WKL488" s="4"/>
      <c r="WKM488" s="4"/>
      <c r="WKN488" s="4"/>
      <c r="WKO488" s="4"/>
      <c r="WKP488" s="4"/>
      <c r="WKQ488" s="4"/>
      <c r="WKR488" s="4"/>
      <c r="WKS488" s="4"/>
      <c r="WKT488" s="4"/>
      <c r="WKU488" s="4"/>
      <c r="WKV488" s="4"/>
      <c r="WKW488" s="4"/>
      <c r="WKX488" s="4"/>
      <c r="WKY488" s="4"/>
      <c r="WKZ488" s="4"/>
      <c r="WLA488" s="4"/>
      <c r="WLB488" s="4"/>
      <c r="WLC488" s="4"/>
      <c r="WLD488" s="4"/>
      <c r="WLE488" s="4"/>
      <c r="WLF488" s="4"/>
      <c r="WLG488" s="4"/>
      <c r="WLH488" s="4"/>
      <c r="WLI488" s="4"/>
      <c r="WLJ488" s="4"/>
      <c r="WLK488" s="4"/>
      <c r="WLL488" s="4"/>
      <c r="WLM488" s="4"/>
      <c r="WLN488" s="4"/>
      <c r="WLO488" s="4"/>
      <c r="WLP488" s="4"/>
      <c r="WLQ488" s="4"/>
      <c r="WLR488" s="4"/>
      <c r="WLS488" s="4"/>
      <c r="WLT488" s="4"/>
      <c r="WLU488" s="4"/>
      <c r="WLV488" s="4"/>
      <c r="WLW488" s="4"/>
      <c r="WLX488" s="4"/>
      <c r="WLY488" s="4"/>
      <c r="WLZ488" s="4"/>
      <c r="WMA488" s="4"/>
      <c r="WMB488" s="4"/>
      <c r="WMC488" s="4"/>
      <c r="WMD488" s="4"/>
      <c r="WME488" s="4"/>
      <c r="WMF488" s="4"/>
      <c r="WMG488" s="4"/>
      <c r="WMH488" s="4"/>
      <c r="WMI488" s="4"/>
      <c r="WMJ488" s="4"/>
      <c r="WMK488" s="4"/>
      <c r="WML488" s="4"/>
      <c r="WMM488" s="4"/>
      <c r="WMN488" s="4"/>
      <c r="WMO488" s="4"/>
      <c r="WMP488" s="4"/>
      <c r="WMQ488" s="4"/>
      <c r="WMR488" s="4"/>
      <c r="WMS488" s="4"/>
      <c r="WMT488" s="4"/>
      <c r="WMU488" s="4"/>
      <c r="WMV488" s="4"/>
      <c r="WMW488" s="4"/>
      <c r="WMX488" s="4"/>
      <c r="WMY488" s="4"/>
      <c r="WMZ488" s="4"/>
      <c r="WNA488" s="4"/>
      <c r="WNB488" s="4"/>
      <c r="WNC488" s="4"/>
      <c r="WND488" s="4"/>
      <c r="WNE488" s="4"/>
      <c r="WNF488" s="4"/>
      <c r="WNG488" s="4"/>
      <c r="WNH488" s="4"/>
      <c r="WNI488" s="4"/>
      <c r="WNJ488" s="4"/>
      <c r="WNK488" s="4"/>
      <c r="WNL488" s="4"/>
      <c r="WNM488" s="4"/>
      <c r="WNN488" s="4"/>
      <c r="WNO488" s="4"/>
      <c r="WNP488" s="4"/>
      <c r="WNQ488" s="4"/>
      <c r="WNR488" s="4"/>
      <c r="WNS488" s="4"/>
      <c r="WNT488" s="4"/>
      <c r="WNU488" s="4"/>
      <c r="WNV488" s="4"/>
      <c r="WNW488" s="4"/>
      <c r="WNX488" s="4"/>
      <c r="WNY488" s="4"/>
      <c r="WNZ488" s="4"/>
      <c r="WOA488" s="4"/>
      <c r="WOB488" s="4"/>
      <c r="WOC488" s="4"/>
      <c r="WOD488" s="4"/>
      <c r="WOE488" s="4"/>
      <c r="WOF488" s="4"/>
      <c r="WOG488" s="4"/>
      <c r="WOH488" s="4"/>
      <c r="WOI488" s="4"/>
      <c r="WOJ488" s="4"/>
      <c r="WOK488" s="4"/>
      <c r="WOL488" s="4"/>
      <c r="WOM488" s="4"/>
      <c r="WON488" s="4"/>
      <c r="WOO488" s="4"/>
      <c r="WOP488" s="4"/>
      <c r="WOQ488" s="4"/>
      <c r="WOR488" s="4"/>
      <c r="WOS488" s="4"/>
      <c r="WOT488" s="4"/>
      <c r="WOU488" s="4"/>
      <c r="WOV488" s="4"/>
      <c r="WOW488" s="4"/>
      <c r="WOX488" s="4"/>
      <c r="WOY488" s="4"/>
      <c r="WOZ488" s="4"/>
      <c r="WPA488" s="4"/>
      <c r="WPB488" s="4"/>
      <c r="WPC488" s="4"/>
      <c r="WPD488" s="4"/>
      <c r="WPE488" s="4"/>
      <c r="WPF488" s="4"/>
      <c r="WPG488" s="4"/>
      <c r="WPH488" s="4"/>
      <c r="WPI488" s="4"/>
      <c r="WPJ488" s="4"/>
      <c r="WPK488" s="4"/>
      <c r="WPL488" s="4"/>
      <c r="WPM488" s="4"/>
      <c r="WPN488" s="4"/>
      <c r="WPO488" s="4"/>
      <c r="WPP488" s="4"/>
      <c r="WPQ488" s="4"/>
      <c r="WPR488" s="4"/>
      <c r="WPS488" s="4"/>
      <c r="WPT488" s="4"/>
      <c r="WPU488" s="4"/>
      <c r="WPV488" s="4"/>
      <c r="WPW488" s="4"/>
      <c r="WPX488" s="4"/>
      <c r="WPY488" s="4"/>
      <c r="WPZ488" s="4"/>
      <c r="WQA488" s="4"/>
      <c r="WQB488" s="4"/>
      <c r="WQC488" s="4"/>
      <c r="WQD488" s="4"/>
      <c r="WQE488" s="4"/>
      <c r="WQF488" s="4"/>
      <c r="WQG488" s="4"/>
      <c r="WQH488" s="4"/>
      <c r="WQI488" s="4"/>
      <c r="WQJ488" s="4"/>
      <c r="WQK488" s="4"/>
      <c r="WQL488" s="4"/>
      <c r="WQM488" s="4"/>
      <c r="WQN488" s="4"/>
      <c r="WQO488" s="4"/>
      <c r="WQP488" s="4"/>
      <c r="WQQ488" s="4"/>
      <c r="WQR488" s="4"/>
      <c r="WQS488" s="4"/>
      <c r="WQT488" s="4"/>
      <c r="WQU488" s="4"/>
      <c r="WQV488" s="4"/>
      <c r="WQW488" s="4"/>
      <c r="WQX488" s="4"/>
      <c r="WQY488" s="4"/>
      <c r="WQZ488" s="4"/>
      <c r="WRA488" s="4"/>
      <c r="WRB488" s="4"/>
      <c r="WRC488" s="4"/>
      <c r="WRD488" s="4"/>
      <c r="WRE488" s="4"/>
      <c r="WRF488" s="4"/>
      <c r="WRG488" s="4"/>
      <c r="WRH488" s="4"/>
      <c r="WRI488" s="4"/>
      <c r="WRJ488" s="4"/>
      <c r="WRK488" s="4"/>
      <c r="WRL488" s="4"/>
      <c r="WRM488" s="4"/>
      <c r="WRN488" s="4"/>
      <c r="WRO488" s="4"/>
      <c r="WRP488" s="4"/>
      <c r="WRQ488" s="4"/>
      <c r="WRR488" s="4"/>
      <c r="WRS488" s="4"/>
      <c r="WRT488" s="4"/>
      <c r="WRU488" s="4"/>
      <c r="WRV488" s="4"/>
      <c r="WRW488" s="4"/>
      <c r="WRX488" s="4"/>
      <c r="WRY488" s="4"/>
      <c r="WRZ488" s="4"/>
      <c r="WSA488" s="4"/>
      <c r="WSB488" s="4"/>
      <c r="WSC488" s="4"/>
      <c r="WSD488" s="4"/>
      <c r="WSE488" s="4"/>
      <c r="WSF488" s="4"/>
      <c r="WSG488" s="4"/>
      <c r="WSH488" s="4"/>
      <c r="WSI488" s="4"/>
      <c r="WSJ488" s="4"/>
      <c r="WSK488" s="4"/>
      <c r="WSL488" s="4"/>
      <c r="WSM488" s="4"/>
      <c r="WSN488" s="4"/>
      <c r="WSO488" s="4"/>
      <c r="WSP488" s="4"/>
      <c r="WSQ488" s="4"/>
      <c r="WSR488" s="4"/>
      <c r="WSS488" s="4"/>
      <c r="WST488" s="4"/>
      <c r="WSU488" s="4"/>
      <c r="WSV488" s="4"/>
      <c r="WSW488" s="4"/>
      <c r="WSX488" s="4"/>
      <c r="WSY488" s="4"/>
      <c r="WSZ488" s="4"/>
      <c r="WTA488" s="4"/>
      <c r="WTB488" s="4"/>
      <c r="WTC488" s="4"/>
      <c r="WTD488" s="4"/>
      <c r="WTE488" s="4"/>
      <c r="WTF488" s="4"/>
      <c r="WTG488" s="4"/>
      <c r="WTH488" s="4"/>
      <c r="WTI488" s="4"/>
      <c r="WTJ488" s="4"/>
      <c r="WTK488" s="4"/>
      <c r="WTL488" s="4"/>
      <c r="WTM488" s="4"/>
      <c r="WTN488" s="4"/>
      <c r="WTO488" s="4"/>
      <c r="WTP488" s="4"/>
      <c r="WTQ488" s="4"/>
      <c r="WTR488" s="4"/>
      <c r="WTS488" s="4"/>
      <c r="WTT488" s="4"/>
      <c r="WTU488" s="4"/>
      <c r="WTV488" s="4"/>
      <c r="WTW488" s="4"/>
      <c r="WTX488" s="4"/>
      <c r="WTY488" s="4"/>
      <c r="WTZ488" s="4"/>
      <c r="WUA488" s="4"/>
      <c r="WUB488" s="4"/>
      <c r="WUC488" s="4"/>
      <c r="WUD488" s="4"/>
      <c r="WUE488" s="4"/>
      <c r="WUF488" s="4"/>
      <c r="WUG488" s="4"/>
      <c r="WUH488" s="4"/>
      <c r="WUI488" s="4"/>
      <c r="WUJ488" s="4"/>
      <c r="WUK488" s="4"/>
      <c r="WUL488" s="4"/>
      <c r="WUM488" s="4"/>
      <c r="WUN488" s="4"/>
      <c r="WUO488" s="4"/>
      <c r="WUP488" s="4"/>
      <c r="WUQ488" s="4"/>
      <c r="WUR488" s="4"/>
      <c r="WUS488" s="4"/>
      <c r="WUT488" s="4"/>
      <c r="WUU488" s="4"/>
      <c r="WUV488" s="4"/>
      <c r="WUW488" s="4"/>
      <c r="WUX488" s="4"/>
      <c r="WUY488" s="4"/>
      <c r="WUZ488" s="4"/>
      <c r="WVA488" s="4"/>
      <c r="WVB488" s="4"/>
      <c r="WVC488" s="4"/>
      <c r="WVD488" s="4"/>
      <c r="WVE488" s="4"/>
      <c r="WVF488" s="4"/>
      <c r="WVG488" s="4"/>
      <c r="WVH488" s="4"/>
      <c r="WVI488" s="4"/>
      <c r="WVJ488" s="4"/>
      <c r="WVK488" s="4"/>
      <c r="WVL488" s="4"/>
      <c r="WVM488" s="4"/>
      <c r="WVN488" s="4"/>
      <c r="WVO488" s="4"/>
      <c r="WVP488" s="4"/>
      <c r="WVQ488" s="4"/>
      <c r="WVR488" s="4"/>
      <c r="WVS488" s="4"/>
      <c r="WVT488" s="4"/>
      <c r="WVU488" s="4"/>
      <c r="WVV488" s="4"/>
      <c r="WVW488" s="4"/>
      <c r="WVX488" s="4"/>
      <c r="WVY488" s="4"/>
      <c r="WVZ488" s="4"/>
      <c r="WWA488" s="4"/>
      <c r="WWB488" s="4"/>
      <c r="WWC488" s="4"/>
      <c r="WWD488" s="4"/>
      <c r="WWE488" s="4"/>
      <c r="WWF488" s="4"/>
      <c r="WWG488" s="4"/>
      <c r="WWH488" s="4"/>
      <c r="WWI488" s="4"/>
      <c r="WWJ488" s="4"/>
      <c r="WWK488" s="4"/>
      <c r="WWL488" s="4"/>
      <c r="WWM488" s="4"/>
      <c r="WWN488" s="4"/>
      <c r="WWO488" s="4"/>
      <c r="WWP488" s="4"/>
      <c r="WWQ488" s="4"/>
      <c r="WWR488" s="4"/>
      <c r="WWS488" s="4"/>
      <c r="WWT488" s="4"/>
      <c r="WWU488" s="4"/>
      <c r="WWV488" s="4"/>
      <c r="WWW488" s="4"/>
      <c r="WWX488" s="4"/>
      <c r="WWY488" s="4"/>
      <c r="WWZ488" s="4"/>
      <c r="WXA488" s="4"/>
      <c r="WXB488" s="4"/>
      <c r="WXC488" s="4"/>
      <c r="WXD488" s="4"/>
      <c r="WXE488" s="4"/>
      <c r="WXF488" s="4"/>
      <c r="WXG488" s="4"/>
      <c r="WXH488" s="4"/>
      <c r="WXI488" s="4"/>
      <c r="WXJ488" s="4"/>
      <c r="WXK488" s="4"/>
      <c r="WXL488" s="4"/>
      <c r="WXM488" s="4"/>
      <c r="WXN488" s="4"/>
      <c r="WXO488" s="4"/>
      <c r="WXP488" s="4"/>
      <c r="WXQ488" s="4"/>
      <c r="WXR488" s="4"/>
      <c r="WXS488" s="4"/>
      <c r="WXT488" s="4"/>
      <c r="WXU488" s="4"/>
      <c r="WXV488" s="4"/>
      <c r="WXW488" s="4"/>
      <c r="WXX488" s="4"/>
      <c r="WXY488" s="4"/>
      <c r="WXZ488" s="4"/>
      <c r="WYA488" s="4"/>
      <c r="WYB488" s="4"/>
      <c r="WYC488" s="4"/>
      <c r="WYD488" s="4"/>
      <c r="WYE488" s="4"/>
      <c r="WYF488" s="4"/>
      <c r="WYG488" s="4"/>
      <c r="WYH488" s="4"/>
      <c r="WYI488" s="4"/>
      <c r="WYJ488" s="4"/>
      <c r="WYK488" s="4"/>
      <c r="WYL488" s="4"/>
      <c r="WYM488" s="4"/>
      <c r="WYN488" s="4"/>
      <c r="WYO488" s="4"/>
      <c r="WYP488" s="4"/>
      <c r="WYQ488" s="4"/>
      <c r="WYR488" s="4"/>
      <c r="WYS488" s="4"/>
      <c r="WYT488" s="4"/>
      <c r="WYU488" s="4"/>
      <c r="WYV488" s="4"/>
      <c r="WYW488" s="4"/>
      <c r="WYX488" s="4"/>
      <c r="WYY488" s="4"/>
      <c r="WYZ488" s="4"/>
      <c r="WZA488" s="4"/>
      <c r="WZB488" s="4"/>
      <c r="WZC488" s="4"/>
      <c r="WZD488" s="4"/>
      <c r="WZE488" s="4"/>
      <c r="WZF488" s="4"/>
      <c r="WZG488" s="4"/>
      <c r="WZH488" s="4"/>
      <c r="WZI488" s="4"/>
      <c r="WZJ488" s="4"/>
      <c r="WZK488" s="4"/>
      <c r="WZL488" s="4"/>
      <c r="WZM488" s="4"/>
      <c r="WZN488" s="4"/>
      <c r="WZO488" s="4"/>
      <c r="WZP488" s="4"/>
      <c r="WZQ488" s="4"/>
      <c r="WZR488" s="4"/>
      <c r="WZS488" s="4"/>
      <c r="WZT488" s="4"/>
      <c r="WZU488" s="4"/>
      <c r="WZV488" s="4"/>
      <c r="WZW488" s="4"/>
      <c r="WZX488" s="4"/>
      <c r="WZY488" s="4"/>
      <c r="WZZ488" s="4"/>
      <c r="XAA488" s="4"/>
      <c r="XAB488" s="4"/>
      <c r="XAC488" s="4"/>
      <c r="XAD488" s="4"/>
      <c r="XAE488" s="4"/>
      <c r="XAF488" s="4"/>
      <c r="XAG488" s="4"/>
      <c r="XAH488" s="4"/>
      <c r="XAI488" s="4"/>
      <c r="XAJ488" s="4"/>
      <c r="XAK488" s="4"/>
      <c r="XAL488" s="4"/>
      <c r="XAM488" s="4"/>
      <c r="XAN488" s="4"/>
      <c r="XAO488" s="4"/>
      <c r="XAP488" s="4"/>
      <c r="XAQ488" s="4"/>
      <c r="XAR488" s="4"/>
      <c r="XAS488" s="4"/>
      <c r="XAT488" s="4"/>
      <c r="XAU488" s="4"/>
      <c r="XAV488" s="4"/>
      <c r="XAW488" s="4"/>
      <c r="XAX488" s="4"/>
      <c r="XAY488" s="4"/>
      <c r="XAZ488" s="4"/>
      <c r="XBA488" s="4"/>
      <c r="XBB488" s="4"/>
      <c r="XBC488" s="4"/>
      <c r="XBD488" s="4"/>
      <c r="XBE488" s="4"/>
      <c r="XBF488" s="4"/>
      <c r="XBG488" s="4"/>
      <c r="XBH488" s="4"/>
      <c r="XBI488" s="4"/>
      <c r="XBJ488" s="4"/>
      <c r="XBK488" s="4"/>
      <c r="XBL488" s="4"/>
      <c r="XBM488" s="4"/>
      <c r="XBN488" s="4"/>
      <c r="XBO488" s="4"/>
      <c r="XBP488" s="4"/>
      <c r="XBQ488" s="4"/>
      <c r="XBR488" s="4"/>
      <c r="XBS488" s="4"/>
      <c r="XBT488" s="4"/>
      <c r="XBU488" s="4"/>
      <c r="XBV488" s="4"/>
      <c r="XBW488" s="4"/>
      <c r="XBX488" s="4"/>
      <c r="XBY488" s="4"/>
      <c r="XBZ488" s="4"/>
      <c r="XCA488" s="4"/>
      <c r="XCB488" s="4"/>
      <c r="XCC488" s="4"/>
      <c r="XCD488" s="4"/>
      <c r="XCE488" s="4"/>
      <c r="XCF488" s="4"/>
      <c r="XCG488" s="4"/>
      <c r="XCH488" s="4"/>
      <c r="XCI488" s="4"/>
      <c r="XCJ488" s="4"/>
      <c r="XCK488" s="4"/>
      <c r="XCL488" s="4"/>
      <c r="XCM488" s="4"/>
      <c r="XCN488" s="4"/>
      <c r="XCO488" s="4"/>
      <c r="XCP488" s="4"/>
      <c r="XCQ488" s="4"/>
      <c r="XCR488" s="4"/>
      <c r="XCS488" s="4"/>
      <c r="XCT488" s="4"/>
      <c r="XCU488" s="4"/>
      <c r="XCV488" s="4"/>
      <c r="XCW488" s="4"/>
      <c r="XCX488" s="4"/>
      <c r="XCY488" s="4"/>
      <c r="XCZ488" s="4"/>
      <c r="XDA488" s="4"/>
      <c r="XDB488" s="4"/>
      <c r="XDC488" s="4"/>
      <c r="XDD488" s="4"/>
      <c r="XDE488" s="4"/>
      <c r="XDF488" s="4"/>
      <c r="XDG488" s="4"/>
      <c r="XDH488" s="4"/>
      <c r="XDI488" s="4"/>
      <c r="XDJ488" s="4"/>
      <c r="XDK488" s="4"/>
      <c r="XDL488" s="4"/>
      <c r="XDM488" s="4"/>
      <c r="XDN488" s="4"/>
      <c r="XDO488" s="4"/>
      <c r="XDP488" s="4"/>
      <c r="XDQ488" s="4"/>
      <c r="XDR488" s="4"/>
      <c r="XDS488" s="4"/>
      <c r="XDT488" s="4"/>
      <c r="XDU488" s="4"/>
      <c r="XDV488" s="4"/>
      <c r="XDW488" s="4"/>
      <c r="XDX488" s="4"/>
      <c r="XDY488" s="4"/>
      <c r="XDZ488" s="4"/>
      <c r="XEA488" s="4"/>
      <c r="XEB488" s="4"/>
      <c r="XEC488" s="4"/>
      <c r="XED488" s="4"/>
      <c r="XEE488" s="4"/>
      <c r="XEF488" s="4"/>
      <c r="XEG488" s="4"/>
      <c r="XEH488" s="4"/>
      <c r="XEI488" s="4"/>
      <c r="XEJ488" s="4"/>
      <c r="XEK488" s="4"/>
      <c r="XEL488" s="4"/>
      <c r="XEM488" s="4"/>
      <c r="XEN488" s="4"/>
      <c r="XEO488" s="4"/>
      <c r="XEP488" s="4"/>
      <c r="XEQ488" s="4"/>
      <c r="XER488" s="4"/>
      <c r="XES488" s="4"/>
      <c r="XET488" s="4"/>
      <c r="XEU488" s="4"/>
      <c r="XEV488" s="4"/>
      <c r="XEW488" s="4"/>
      <c r="XEX488" s="4"/>
      <c r="XEY488" s="4"/>
      <c r="XEZ488" s="4"/>
      <c r="XFA488" s="4"/>
      <c r="XFB488" s="4"/>
      <c r="XFC488" s="4"/>
      <c r="XFD488" s="4"/>
    </row>
    <row r="489" spans="1:16384" hidden="1" x14ac:dyDescent="0.25">
      <c r="B489" s="4"/>
      <c r="C489" s="4"/>
      <c r="D489" s="4"/>
      <c r="E489" s="4"/>
      <c r="F489" s="4"/>
      <c r="G489" s="4"/>
      <c r="H489" s="4"/>
      <c r="I489" s="4"/>
      <c r="J489" s="4"/>
      <c r="K489" s="4"/>
      <c r="L489" s="4"/>
      <c r="M489" s="4"/>
      <c r="N489" s="4"/>
      <c r="O489" s="4"/>
      <c r="P489" s="4"/>
      <c r="Q489" s="4"/>
    </row>
  </sheetData>
  <hyperlinks>
    <hyperlink ref="E200" location="'מדריך למשתמש'!A1" display="לתחילת העמוד"/>
    <hyperlink ref="E259" location="'מדריך למשתמש'!A1" display="לתחילת העמוד"/>
    <hyperlink ref="E348" location="'מדריך למשתמש'!A1" display="לתחילת העמוד"/>
    <hyperlink ref="E485" location="'מדריך למשתמש'!A1" display="לתחילת העמוד"/>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100"/>
  <sheetViews>
    <sheetView showGridLines="0" rightToLeft="1" zoomScale="85" zoomScaleNormal="85" workbookViewId="0">
      <selection activeCell="G31" sqref="G31"/>
    </sheetView>
  </sheetViews>
  <sheetFormatPr defaultColWidth="0" defaultRowHeight="15" zeroHeight="1" outlineLevelRow="1" x14ac:dyDescent="0.25"/>
  <cols>
    <col min="1" max="1" width="1.7109375" style="14" customWidth="1"/>
    <col min="2" max="2" width="4" style="14" customWidth="1"/>
    <col min="3" max="3" width="27.42578125" style="14" customWidth="1"/>
    <col min="4" max="4" width="16.5703125" style="14" customWidth="1"/>
    <col min="5" max="5" width="0.7109375" style="14" customWidth="1"/>
    <col min="6" max="6" width="14.28515625" style="14" customWidth="1"/>
    <col min="7" max="7" width="4.140625" style="14" customWidth="1"/>
    <col min="8" max="8" width="33.28515625" style="14" customWidth="1"/>
    <col min="9" max="9" width="2.28515625" style="14" customWidth="1"/>
    <col min="10" max="10" width="10.28515625" style="14" bestFit="1" customWidth="1"/>
    <col min="11" max="11" width="8" style="14" customWidth="1"/>
    <col min="12" max="12" width="3" style="14" bestFit="1" customWidth="1"/>
    <col min="13" max="13" width="36.28515625" style="14" customWidth="1"/>
    <col min="14" max="14" width="2.42578125" style="14" customWidth="1"/>
    <col min="15" max="15" width="10.28515625" style="14" bestFit="1" customWidth="1"/>
    <col min="16" max="16" width="5.42578125" style="14" customWidth="1"/>
    <col min="17" max="17" width="27.42578125" style="14" customWidth="1"/>
    <col min="18" max="18" width="5.85546875" style="14" customWidth="1"/>
    <col min="19" max="19" width="19.42578125" style="14" bestFit="1" customWidth="1"/>
    <col min="20" max="20" width="3.140625" style="14" customWidth="1"/>
    <col min="21" max="21" width="19.140625" style="14" bestFit="1" customWidth="1"/>
    <col min="22" max="22" width="2.5703125" style="14" customWidth="1"/>
    <col min="23" max="23" width="19.140625" style="14" customWidth="1"/>
    <col min="24" max="24" width="4.5703125" style="14" customWidth="1"/>
    <col min="25" max="25" width="13.28515625" style="14" customWidth="1"/>
    <col min="26" max="26" width="11" style="14" bestFit="1" customWidth="1"/>
    <col min="27" max="34" width="9.140625" style="14" customWidth="1"/>
    <col min="35" max="16384" width="9.140625" style="14" hidden="1"/>
  </cols>
  <sheetData>
    <row r="1" spans="1:33" ht="15.75" thickBot="1" x14ac:dyDescent="0.3">
      <c r="A1" s="6"/>
      <c r="B1" s="6"/>
      <c r="C1" s="6"/>
      <c r="D1" s="6"/>
      <c r="E1" s="6"/>
      <c r="F1" s="6"/>
      <c r="G1" s="6"/>
      <c r="H1" s="6"/>
      <c r="I1" s="6"/>
      <c r="J1" s="6"/>
      <c r="K1" s="6"/>
      <c r="L1" s="6"/>
      <c r="M1" s="6"/>
      <c r="N1" s="6"/>
      <c r="O1" s="6"/>
      <c r="P1" s="6"/>
      <c r="Q1" s="6"/>
      <c r="R1" s="6"/>
      <c r="S1" s="6"/>
      <c r="T1" s="6"/>
      <c r="U1" s="6"/>
      <c r="V1" s="6"/>
      <c r="W1" s="6"/>
      <c r="X1" s="6"/>
      <c r="Y1" s="6"/>
      <c r="Z1" s="6"/>
      <c r="AA1" s="6"/>
      <c r="AB1" s="6"/>
    </row>
    <row r="2" spans="1:33" ht="15.75" customHeight="1" x14ac:dyDescent="0.25">
      <c r="A2" s="6"/>
      <c r="B2" s="42"/>
      <c r="C2" s="43"/>
      <c r="D2" s="43"/>
      <c r="E2" s="43"/>
      <c r="F2" s="43"/>
      <c r="G2" s="43"/>
      <c r="H2" s="43"/>
      <c r="I2" s="43"/>
      <c r="J2" s="43"/>
      <c r="K2" s="43"/>
      <c r="L2" s="43"/>
      <c r="M2" s="278"/>
      <c r="N2" s="43"/>
      <c r="O2" s="279"/>
      <c r="P2" s="43"/>
      <c r="Q2" s="43"/>
      <c r="R2" s="43"/>
      <c r="S2" s="279"/>
      <c r="T2" s="43"/>
      <c r="U2" s="43"/>
      <c r="V2" s="43"/>
      <c r="W2" s="43"/>
      <c r="X2" s="44"/>
      <c r="Y2" s="6"/>
      <c r="Z2" s="6"/>
      <c r="AA2" s="6"/>
      <c r="AB2" s="289">
        <f>F6</f>
        <v>43983</v>
      </c>
      <c r="AC2" s="290">
        <f>YEAR(AB2)</f>
        <v>2020</v>
      </c>
      <c r="AD2" s="290">
        <f>MONTH(AB2)</f>
        <v>6</v>
      </c>
      <c r="AE2" s="290" t="str">
        <f>VLOOKUP(AD2,$AF$2:$AG$13,2)</f>
        <v>יוני</v>
      </c>
      <c r="AF2" s="290">
        <v>1</v>
      </c>
      <c r="AG2" s="291" t="s">
        <v>328</v>
      </c>
    </row>
    <row r="3" spans="1:33" ht="26.25" x14ac:dyDescent="0.4">
      <c r="A3" s="6"/>
      <c r="B3" s="48"/>
      <c r="C3" s="49" t="s">
        <v>11</v>
      </c>
      <c r="D3" s="46"/>
      <c r="E3" s="46"/>
      <c r="F3" s="46"/>
      <c r="G3" s="49"/>
      <c r="H3" s="49" t="s">
        <v>38</v>
      </c>
      <c r="I3" s="49"/>
      <c r="J3" s="46"/>
      <c r="K3" s="46"/>
      <c r="L3" s="46"/>
      <c r="M3" s="49" t="s">
        <v>41</v>
      </c>
      <c r="N3" s="46"/>
      <c r="O3" s="46"/>
      <c r="P3" s="46"/>
      <c r="Q3" s="46"/>
      <c r="R3" s="46"/>
      <c r="S3" s="46"/>
      <c r="T3" s="46"/>
      <c r="U3" s="46"/>
      <c r="V3" s="46"/>
      <c r="W3" s="46"/>
      <c r="X3" s="47"/>
      <c r="Y3" s="6"/>
      <c r="Z3" s="6"/>
      <c r="AA3" s="6"/>
      <c r="AB3" s="292">
        <f>EDATE(AB2,1)</f>
        <v>44013</v>
      </c>
      <c r="AC3" s="138">
        <f t="shared" ref="AC3:AC14" si="0">YEAR(AB3)</f>
        <v>2020</v>
      </c>
      <c r="AD3" s="138">
        <f t="shared" ref="AD3:AD14" si="1">MONTH(AB3)</f>
        <v>7</v>
      </c>
      <c r="AE3" s="138" t="str">
        <f t="shared" ref="AE3:AE14" si="2">VLOOKUP(AD3,$AF$2:$AG$13,2)</f>
        <v>יולי</v>
      </c>
      <c r="AF3" s="138">
        <v>2</v>
      </c>
      <c r="AG3" s="293" t="s">
        <v>329</v>
      </c>
    </row>
    <row r="4" spans="1:33" x14ac:dyDescent="0.25">
      <c r="A4" s="6"/>
      <c r="B4" s="45"/>
      <c r="C4" s="46"/>
      <c r="D4" s="46"/>
      <c r="E4" s="46"/>
      <c r="F4" s="46"/>
      <c r="G4" s="46"/>
      <c r="H4" s="46"/>
      <c r="I4" s="46"/>
      <c r="J4" s="46"/>
      <c r="K4" s="46"/>
      <c r="L4" s="46"/>
      <c r="M4" s="46"/>
      <c r="N4" s="46"/>
      <c r="O4" s="46"/>
      <c r="P4" s="46"/>
      <c r="Q4" s="46"/>
      <c r="R4" s="46"/>
      <c r="S4" s="46"/>
      <c r="T4" s="46"/>
      <c r="U4" s="46"/>
      <c r="V4" s="46"/>
      <c r="W4" s="46"/>
      <c r="X4" s="47"/>
      <c r="Y4" s="6"/>
      <c r="Z4" s="6"/>
      <c r="AA4" s="6"/>
      <c r="AB4" s="292">
        <f t="shared" ref="AB4:AB14" si="3">EDATE(AB3,1)</f>
        <v>44044</v>
      </c>
      <c r="AC4" s="138">
        <f t="shared" si="0"/>
        <v>2020</v>
      </c>
      <c r="AD4" s="138">
        <f t="shared" si="1"/>
        <v>8</v>
      </c>
      <c r="AE4" s="138" t="str">
        <f t="shared" si="2"/>
        <v>אוגוסט</v>
      </c>
      <c r="AF4" s="138">
        <v>3</v>
      </c>
      <c r="AG4" s="293" t="s">
        <v>330</v>
      </c>
    </row>
    <row r="5" spans="1:33" ht="15.75" thickBot="1" x14ac:dyDescent="0.3">
      <c r="A5" s="6"/>
      <c r="B5" s="45"/>
      <c r="C5" s="46"/>
      <c r="D5" s="46"/>
      <c r="E5" s="46"/>
      <c r="F5" s="46"/>
      <c r="G5" s="46"/>
      <c r="H5" s="46"/>
      <c r="I5" s="46"/>
      <c r="J5" s="46"/>
      <c r="K5" s="46"/>
      <c r="L5" s="46"/>
      <c r="M5" s="50" t="s">
        <v>40</v>
      </c>
      <c r="N5" s="46"/>
      <c r="O5" s="66" t="s">
        <v>106</v>
      </c>
      <c r="P5" s="46"/>
      <c r="Q5" s="66" t="s">
        <v>55</v>
      </c>
      <c r="R5" s="46"/>
      <c r="S5" s="66" t="s">
        <v>103</v>
      </c>
      <c r="T5" s="46"/>
      <c r="U5" s="66" t="s">
        <v>104</v>
      </c>
      <c r="V5" s="46"/>
      <c r="W5" s="66" t="s">
        <v>113</v>
      </c>
      <c r="X5" s="47"/>
      <c r="Y5" s="6"/>
      <c r="Z5" s="6"/>
      <c r="AA5" s="6"/>
      <c r="AB5" s="292">
        <f t="shared" si="3"/>
        <v>44075</v>
      </c>
      <c r="AC5" s="138">
        <f t="shared" si="0"/>
        <v>2020</v>
      </c>
      <c r="AD5" s="138">
        <f t="shared" si="1"/>
        <v>9</v>
      </c>
      <c r="AE5" s="138" t="str">
        <f t="shared" si="2"/>
        <v>ספטמבר</v>
      </c>
      <c r="AF5" s="138">
        <v>4</v>
      </c>
      <c r="AG5" s="293" t="s">
        <v>331</v>
      </c>
    </row>
    <row r="6" spans="1:33" ht="15.75" thickBot="1" x14ac:dyDescent="0.3">
      <c r="A6" s="6"/>
      <c r="B6" s="45"/>
      <c r="C6" s="46" t="s">
        <v>325</v>
      </c>
      <c r="D6" s="46"/>
      <c r="E6" s="46"/>
      <c r="F6" s="226">
        <v>43983</v>
      </c>
      <c r="G6" s="46"/>
      <c r="H6" s="46" t="s">
        <v>302</v>
      </c>
      <c r="I6" s="46"/>
      <c r="J6" s="56">
        <v>2500000</v>
      </c>
      <c r="K6" s="46"/>
      <c r="L6" s="46">
        <v>1</v>
      </c>
      <c r="M6" s="55" t="s">
        <v>1</v>
      </c>
      <c r="N6" s="46"/>
      <c r="O6" s="56">
        <v>245000.00000000003</v>
      </c>
      <c r="P6" s="280"/>
      <c r="Q6" s="104" t="s">
        <v>56</v>
      </c>
      <c r="R6" s="46"/>
      <c r="S6" s="56" t="s">
        <v>109</v>
      </c>
      <c r="T6" s="46"/>
      <c r="U6" s="104" t="s">
        <v>56</v>
      </c>
      <c r="V6" s="46"/>
      <c r="W6" s="104" t="s">
        <v>57</v>
      </c>
      <c r="X6" s="47"/>
      <c r="Z6" s="6"/>
      <c r="AA6" s="6"/>
      <c r="AB6" s="292">
        <f t="shared" si="3"/>
        <v>44105</v>
      </c>
      <c r="AC6" s="138">
        <f t="shared" si="0"/>
        <v>2020</v>
      </c>
      <c r="AD6" s="138">
        <f t="shared" si="1"/>
        <v>10</v>
      </c>
      <c r="AE6" s="138" t="str">
        <f t="shared" si="2"/>
        <v>אוקטובר</v>
      </c>
      <c r="AF6" s="138">
        <v>5</v>
      </c>
      <c r="AG6" s="293" t="s">
        <v>332</v>
      </c>
    </row>
    <row r="7" spans="1:33" ht="21.75" customHeight="1" thickBot="1" x14ac:dyDescent="0.3">
      <c r="A7" s="6"/>
      <c r="B7" s="45"/>
      <c r="C7" s="46"/>
      <c r="D7" s="46"/>
      <c r="E7" s="46"/>
      <c r="F7" s="46"/>
      <c r="G7" s="46"/>
      <c r="H7" s="262" t="s">
        <v>303</v>
      </c>
      <c r="I7" s="46"/>
      <c r="J7" s="46"/>
      <c r="K7" s="46"/>
      <c r="L7" s="46">
        <v>2</v>
      </c>
      <c r="M7" s="55" t="s">
        <v>14</v>
      </c>
      <c r="N7" s="46"/>
      <c r="O7" s="56">
        <v>105000</v>
      </c>
      <c r="P7" s="280"/>
      <c r="Q7" s="104" t="s">
        <v>56</v>
      </c>
      <c r="R7" s="46"/>
      <c r="S7" s="56" t="s">
        <v>109</v>
      </c>
      <c r="T7" s="46"/>
      <c r="U7" s="104" t="s">
        <v>56</v>
      </c>
      <c r="V7" s="46"/>
      <c r="W7" s="104" t="s">
        <v>57</v>
      </c>
      <c r="X7" s="47"/>
      <c r="Y7" s="6"/>
      <c r="Z7" s="6"/>
      <c r="AA7" s="6"/>
      <c r="AB7" s="292">
        <f t="shared" si="3"/>
        <v>44136</v>
      </c>
      <c r="AC7" s="138">
        <f t="shared" si="0"/>
        <v>2020</v>
      </c>
      <c r="AD7" s="138">
        <f t="shared" si="1"/>
        <v>11</v>
      </c>
      <c r="AE7" s="138" t="str">
        <f t="shared" si="2"/>
        <v>נובמבר</v>
      </c>
      <c r="AF7" s="138">
        <v>6</v>
      </c>
      <c r="AG7" s="293" t="s">
        <v>333</v>
      </c>
    </row>
    <row r="8" spans="1:33" ht="15.75" thickBot="1" x14ac:dyDescent="0.3">
      <c r="A8" s="6"/>
      <c r="B8" s="51"/>
      <c r="C8" s="46" t="str">
        <f>"יתרת מזומנים בקופה לתחילת חודש"&amp;" "&amp;AE2&amp;" "&amp;AC2</f>
        <v>יתרת מזומנים בקופה לתחילת חודש יוני 2020</v>
      </c>
      <c r="D8" s="46"/>
      <c r="E8" s="46"/>
      <c r="F8" s="56">
        <v>1000000</v>
      </c>
      <c r="G8" s="50"/>
      <c r="H8" s="46" t="s">
        <v>304</v>
      </c>
      <c r="I8" s="46"/>
      <c r="J8" s="56">
        <v>1000000</v>
      </c>
      <c r="K8" s="46"/>
      <c r="L8" s="46">
        <v>3</v>
      </c>
      <c r="M8" s="55" t="s">
        <v>318</v>
      </c>
      <c r="N8" s="46"/>
      <c r="O8" s="56">
        <v>140000</v>
      </c>
      <c r="P8" s="280"/>
      <c r="Q8" s="104" t="s">
        <v>56</v>
      </c>
      <c r="R8" s="46"/>
      <c r="S8" s="56" t="s">
        <v>108</v>
      </c>
      <c r="T8" s="46"/>
      <c r="U8" s="104" t="s">
        <v>56</v>
      </c>
      <c r="V8" s="46"/>
      <c r="W8" s="104" t="s">
        <v>57</v>
      </c>
      <c r="X8" s="47"/>
      <c r="Y8" s="6"/>
      <c r="Z8" s="6"/>
      <c r="AA8" s="6"/>
      <c r="AB8" s="292">
        <f t="shared" si="3"/>
        <v>44166</v>
      </c>
      <c r="AC8" s="138">
        <f t="shared" si="0"/>
        <v>2020</v>
      </c>
      <c r="AD8" s="138">
        <f t="shared" si="1"/>
        <v>12</v>
      </c>
      <c r="AE8" s="138" t="str">
        <f t="shared" si="2"/>
        <v>דצמבר</v>
      </c>
      <c r="AF8" s="138">
        <v>7</v>
      </c>
      <c r="AG8" s="293" t="s">
        <v>334</v>
      </c>
    </row>
    <row r="9" spans="1:33" ht="15.75" thickBot="1" x14ac:dyDescent="0.3">
      <c r="A9" s="6"/>
      <c r="B9" s="45"/>
      <c r="C9" s="46"/>
      <c r="D9" s="46"/>
      <c r="E9" s="46"/>
      <c r="F9" s="46"/>
      <c r="G9" s="46"/>
      <c r="H9" s="46"/>
      <c r="I9" s="46"/>
      <c r="J9" s="46"/>
      <c r="K9" s="46"/>
      <c r="L9" s="46">
        <v>4</v>
      </c>
      <c r="M9" s="55" t="s">
        <v>320</v>
      </c>
      <c r="N9" s="46"/>
      <c r="O9" s="56">
        <v>94500</v>
      </c>
      <c r="P9" s="280"/>
      <c r="Q9" s="104" t="s">
        <v>56</v>
      </c>
      <c r="R9" s="46"/>
      <c r="S9" s="56" t="s">
        <v>108</v>
      </c>
      <c r="T9" s="46"/>
      <c r="U9" s="104" t="s">
        <v>56</v>
      </c>
      <c r="V9" s="46"/>
      <c r="W9" s="104" t="s">
        <v>57</v>
      </c>
      <c r="X9" s="47"/>
      <c r="Y9" s="6"/>
      <c r="Z9" s="277"/>
      <c r="AA9" s="6"/>
      <c r="AB9" s="292">
        <f t="shared" si="3"/>
        <v>44197</v>
      </c>
      <c r="AC9" s="138">
        <f t="shared" si="0"/>
        <v>2021</v>
      </c>
      <c r="AD9" s="138">
        <f t="shared" si="1"/>
        <v>1</v>
      </c>
      <c r="AE9" s="138" t="str">
        <f t="shared" si="2"/>
        <v>ינואר</v>
      </c>
      <c r="AF9" s="138">
        <v>8</v>
      </c>
      <c r="AG9" s="293" t="s">
        <v>335</v>
      </c>
    </row>
    <row r="10" spans="1:33" ht="15.75" thickBot="1" x14ac:dyDescent="0.3">
      <c r="A10" s="6"/>
      <c r="B10" s="45"/>
      <c r="C10" s="46" t="s">
        <v>79</v>
      </c>
      <c r="D10" s="46"/>
      <c r="E10" s="46"/>
      <c r="F10" s="60">
        <v>0</v>
      </c>
      <c r="G10" s="46"/>
      <c r="H10" s="66" t="s">
        <v>275</v>
      </c>
      <c r="I10" s="46"/>
      <c r="J10" s="163">
        <f>SUM(J6,J8)</f>
        <v>3500000</v>
      </c>
      <c r="K10" s="46"/>
      <c r="L10" s="46">
        <v>5</v>
      </c>
      <c r="M10" s="55" t="s">
        <v>319</v>
      </c>
      <c r="N10" s="46"/>
      <c r="O10" s="56">
        <v>161000</v>
      </c>
      <c r="P10" s="280"/>
      <c r="Q10" s="104" t="s">
        <v>56</v>
      </c>
      <c r="R10" s="46"/>
      <c r="S10" s="56" t="s">
        <v>108</v>
      </c>
      <c r="T10" s="46"/>
      <c r="U10" s="104" t="s">
        <v>56</v>
      </c>
      <c r="V10" s="46"/>
      <c r="W10" s="104" t="s">
        <v>57</v>
      </c>
      <c r="X10" s="47"/>
      <c r="Y10" s="6"/>
      <c r="Z10" s="277"/>
      <c r="AA10" s="6"/>
      <c r="AB10" s="292">
        <f t="shared" si="3"/>
        <v>44228</v>
      </c>
      <c r="AC10" s="138">
        <f t="shared" si="0"/>
        <v>2021</v>
      </c>
      <c r="AD10" s="138">
        <f t="shared" si="1"/>
        <v>2</v>
      </c>
      <c r="AE10" s="138" t="str">
        <f t="shared" si="2"/>
        <v>פברואר</v>
      </c>
      <c r="AF10" s="138">
        <v>9</v>
      </c>
      <c r="AG10" s="293" t="s">
        <v>336</v>
      </c>
    </row>
    <row r="11" spans="1:33" ht="15.75" thickBot="1" x14ac:dyDescent="0.3">
      <c r="A11" s="6"/>
      <c r="B11" s="45"/>
      <c r="C11" s="46"/>
      <c r="D11" s="46"/>
      <c r="E11" s="46"/>
      <c r="F11" s="46"/>
      <c r="G11" s="46"/>
      <c r="H11" s="46"/>
      <c r="I11" s="46"/>
      <c r="J11" s="46"/>
      <c r="K11" s="46"/>
      <c r="L11" s="46">
        <v>6</v>
      </c>
      <c r="M11" s="55" t="s">
        <v>0</v>
      </c>
      <c r="N11" s="46"/>
      <c r="O11" s="56">
        <v>98000</v>
      </c>
      <c r="P11" s="280"/>
      <c r="Q11" s="104" t="s">
        <v>56</v>
      </c>
      <c r="R11" s="46"/>
      <c r="S11" s="56" t="s">
        <v>0</v>
      </c>
      <c r="T11" s="46"/>
      <c r="U11" s="104" t="s">
        <v>56</v>
      </c>
      <c r="V11" s="46"/>
      <c r="W11" s="104" t="s">
        <v>57</v>
      </c>
      <c r="X11" s="47"/>
      <c r="Y11" s="6"/>
      <c r="Z11" s="277"/>
      <c r="AA11" s="6"/>
      <c r="AB11" s="292">
        <f t="shared" si="3"/>
        <v>44256</v>
      </c>
      <c r="AC11" s="138">
        <f t="shared" si="0"/>
        <v>2021</v>
      </c>
      <c r="AD11" s="138">
        <f t="shared" si="1"/>
        <v>3</v>
      </c>
      <c r="AE11" s="138" t="str">
        <f t="shared" si="2"/>
        <v>מרץ</v>
      </c>
      <c r="AF11" s="138">
        <v>10</v>
      </c>
      <c r="AG11" s="293" t="s">
        <v>337</v>
      </c>
    </row>
    <row r="12" spans="1:33" ht="15.75" thickBot="1" x14ac:dyDescent="0.3">
      <c r="A12" s="6"/>
      <c r="B12" s="45"/>
      <c r="C12" s="46"/>
      <c r="D12" s="46"/>
      <c r="E12" s="46"/>
      <c r="F12" s="46"/>
      <c r="G12" s="46"/>
      <c r="H12" s="50" t="s">
        <v>39</v>
      </c>
      <c r="I12" s="50"/>
      <c r="J12" s="46"/>
      <c r="K12" s="46"/>
      <c r="L12" s="46">
        <v>7</v>
      </c>
      <c r="M12" s="55" t="s">
        <v>105</v>
      </c>
      <c r="N12" s="46"/>
      <c r="O12" s="56">
        <v>110000.00000000001</v>
      </c>
      <c r="P12" s="280"/>
      <c r="Q12" s="104" t="s">
        <v>56</v>
      </c>
      <c r="R12" s="46"/>
      <c r="S12" s="56" t="s">
        <v>199</v>
      </c>
      <c r="T12" s="46"/>
      <c r="U12" s="104" t="s">
        <v>57</v>
      </c>
      <c r="V12" s="46"/>
      <c r="W12" s="104" t="s">
        <v>57</v>
      </c>
      <c r="X12" s="47"/>
      <c r="Y12" s="6"/>
      <c r="Z12" s="277"/>
      <c r="AA12" s="6"/>
      <c r="AB12" s="292">
        <f t="shared" si="3"/>
        <v>44287</v>
      </c>
      <c r="AC12" s="138">
        <f t="shared" si="0"/>
        <v>2021</v>
      </c>
      <c r="AD12" s="138">
        <f t="shared" si="1"/>
        <v>4</v>
      </c>
      <c r="AE12" s="138" t="str">
        <f t="shared" si="2"/>
        <v>אפריל</v>
      </c>
      <c r="AF12" s="138">
        <v>11</v>
      </c>
      <c r="AG12" s="293" t="s">
        <v>338</v>
      </c>
    </row>
    <row r="13" spans="1:33" ht="15.75" thickBot="1" x14ac:dyDescent="0.3">
      <c r="A13" s="6"/>
      <c r="B13" s="45"/>
      <c r="C13" s="46"/>
      <c r="D13" s="46"/>
      <c r="E13" s="46"/>
      <c r="F13" s="46"/>
      <c r="G13" s="46"/>
      <c r="H13" s="46" t="str">
        <f>"אחוז תפוסה ממוצע לחודש"&amp;" "&amp;AE2&amp;" "&amp;AC2</f>
        <v>אחוז תפוסה ממוצע לחודש יוני 2020</v>
      </c>
      <c r="I13" s="46"/>
      <c r="J13" s="181">
        <v>0.5</v>
      </c>
      <c r="K13" s="46"/>
      <c r="L13" s="46">
        <v>8</v>
      </c>
      <c r="M13" s="55" t="s">
        <v>105</v>
      </c>
      <c r="N13" s="46"/>
      <c r="O13" s="56">
        <v>100000</v>
      </c>
      <c r="P13" s="280"/>
      <c r="Q13" s="104" t="s">
        <v>56</v>
      </c>
      <c r="R13" s="46"/>
      <c r="S13" s="56" t="s">
        <v>200</v>
      </c>
      <c r="T13" s="46"/>
      <c r="U13" s="104" t="s">
        <v>57</v>
      </c>
      <c r="V13" s="46"/>
      <c r="W13" s="104" t="s">
        <v>57</v>
      </c>
      <c r="X13" s="47"/>
      <c r="Y13" s="6"/>
      <c r="Z13" s="277"/>
      <c r="AA13" s="6"/>
      <c r="AB13" s="292">
        <f t="shared" si="3"/>
        <v>44317</v>
      </c>
      <c r="AC13" s="138">
        <f t="shared" si="0"/>
        <v>2021</v>
      </c>
      <c r="AD13" s="138">
        <f t="shared" si="1"/>
        <v>5</v>
      </c>
      <c r="AE13" s="138" t="str">
        <f t="shared" si="2"/>
        <v>מאי</v>
      </c>
      <c r="AF13" s="138">
        <v>12</v>
      </c>
      <c r="AG13" s="293" t="s">
        <v>339</v>
      </c>
    </row>
    <row r="14" spans="1:33" ht="27" thickBot="1" x14ac:dyDescent="0.45">
      <c r="A14" s="6"/>
      <c r="B14" s="45"/>
      <c r="C14" s="49" t="s">
        <v>166</v>
      </c>
      <c r="D14" s="46"/>
      <c r="E14" s="46"/>
      <c r="F14" s="46"/>
      <c r="G14" s="46"/>
      <c r="H14" s="46" t="str">
        <f t="shared" ref="H14:H25" si="4">"אחוז תפוסה ממוצע לחודש"&amp;" "&amp;AE3&amp;" "&amp;AC3</f>
        <v>אחוז תפוסה ממוצע לחודש יולי 2020</v>
      </c>
      <c r="I14" s="46"/>
      <c r="J14" s="181">
        <v>0.5</v>
      </c>
      <c r="K14" s="46"/>
      <c r="L14" s="46">
        <v>9</v>
      </c>
      <c r="M14" s="55" t="s">
        <v>45</v>
      </c>
      <c r="N14" s="46"/>
      <c r="O14" s="56">
        <v>17500</v>
      </c>
      <c r="P14" s="280"/>
      <c r="Q14" s="104" t="s">
        <v>56</v>
      </c>
      <c r="R14" s="46"/>
      <c r="S14" s="56" t="s">
        <v>110</v>
      </c>
      <c r="T14" s="46"/>
      <c r="U14" s="104" t="s">
        <v>56</v>
      </c>
      <c r="V14" s="46"/>
      <c r="W14" s="104" t="s">
        <v>57</v>
      </c>
      <c r="X14" s="47"/>
      <c r="Y14" s="6"/>
      <c r="Z14" s="277"/>
      <c r="AA14" s="6"/>
      <c r="AB14" s="294">
        <f t="shared" si="3"/>
        <v>44348</v>
      </c>
      <c r="AC14" s="147">
        <f t="shared" si="0"/>
        <v>2021</v>
      </c>
      <c r="AD14" s="147">
        <f t="shared" si="1"/>
        <v>6</v>
      </c>
      <c r="AE14" s="147" t="str">
        <f t="shared" si="2"/>
        <v>יוני</v>
      </c>
      <c r="AF14" s="147"/>
      <c r="AG14" s="295"/>
    </row>
    <row r="15" spans="1:33" ht="15.75" thickBot="1" x14ac:dyDescent="0.3">
      <c r="A15" s="6"/>
      <c r="B15" s="45"/>
      <c r="C15" s="46"/>
      <c r="D15" s="46"/>
      <c r="E15" s="46"/>
      <c r="F15" s="46"/>
      <c r="G15" s="46"/>
      <c r="H15" s="46" t="str">
        <f t="shared" si="4"/>
        <v>אחוז תפוסה ממוצע לחודש אוגוסט 2020</v>
      </c>
      <c r="I15" s="46"/>
      <c r="J15" s="181">
        <v>0.5</v>
      </c>
      <c r="K15" s="46"/>
      <c r="L15" s="46">
        <v>10</v>
      </c>
      <c r="M15" s="55" t="s">
        <v>43</v>
      </c>
      <c r="N15" s="46"/>
      <c r="O15" s="56">
        <v>35000</v>
      </c>
      <c r="P15" s="280"/>
      <c r="Q15" s="104" t="s">
        <v>56</v>
      </c>
      <c r="R15" s="46"/>
      <c r="S15" s="56" t="s">
        <v>108</v>
      </c>
      <c r="T15" s="46"/>
      <c r="U15" s="104" t="s">
        <v>56</v>
      </c>
      <c r="V15" s="46"/>
      <c r="W15" s="104" t="s">
        <v>57</v>
      </c>
      <c r="X15" s="47"/>
      <c r="Y15" s="6"/>
      <c r="Z15" s="277"/>
      <c r="AA15" s="6"/>
      <c r="AB15" s="288"/>
    </row>
    <row r="16" spans="1:33" ht="15.75" thickBot="1" x14ac:dyDescent="0.3">
      <c r="A16" s="6"/>
      <c r="B16" s="45"/>
      <c r="C16" s="46" t="str">
        <f>"יתרת הפסד לניצול נכון לתחילת"&amp;" "&amp;AE2&amp;" "&amp;AC2</f>
        <v>יתרת הפסד לניצול נכון לתחילת יוני 2020</v>
      </c>
      <c r="D16" s="46"/>
      <c r="E16" s="46"/>
      <c r="F16" s="56"/>
      <c r="G16" s="46"/>
      <c r="H16" s="46" t="str">
        <f t="shared" si="4"/>
        <v>אחוז תפוסה ממוצע לחודש ספטמבר 2020</v>
      </c>
      <c r="I16" s="46"/>
      <c r="J16" s="181">
        <v>0.5</v>
      </c>
      <c r="K16" s="46"/>
      <c r="L16" s="46"/>
      <c r="M16" s="66" t="s">
        <v>161</v>
      </c>
      <c r="N16" s="46"/>
      <c r="O16" s="163">
        <f>SUM(O6:O15)</f>
        <v>1106000</v>
      </c>
      <c r="P16" s="281"/>
      <c r="Q16" s="46"/>
      <c r="R16" s="46"/>
      <c r="S16" s="46"/>
      <c r="T16" s="46"/>
      <c r="U16" s="46"/>
      <c r="V16" s="46"/>
      <c r="W16" s="46"/>
      <c r="X16" s="47"/>
      <c r="Y16" s="6"/>
      <c r="Z16" s="277"/>
      <c r="AA16" s="6"/>
      <c r="AB16" s="288"/>
    </row>
    <row r="17" spans="1:28" ht="15.75" thickBot="1" x14ac:dyDescent="0.3">
      <c r="A17" s="6"/>
      <c r="B17" s="45"/>
      <c r="C17" s="46"/>
      <c r="D17" s="46"/>
      <c r="E17" s="46"/>
      <c r="F17" s="46"/>
      <c r="G17" s="46"/>
      <c r="H17" s="46" t="str">
        <f t="shared" si="4"/>
        <v>אחוז תפוסה ממוצע לחודש אוקטובר 2020</v>
      </c>
      <c r="I17" s="46"/>
      <c r="J17" s="181">
        <v>0.5</v>
      </c>
      <c r="K17" s="46"/>
      <c r="L17" s="46"/>
      <c r="M17" s="46"/>
      <c r="N17" s="46"/>
      <c r="O17" s="63"/>
      <c r="P17" s="63"/>
      <c r="Q17" s="63"/>
      <c r="R17" s="63"/>
      <c r="S17" s="63"/>
      <c r="T17" s="63"/>
      <c r="U17" s="63"/>
      <c r="V17" s="46"/>
      <c r="W17" s="63"/>
      <c r="X17" s="47"/>
      <c r="Y17" s="6"/>
      <c r="Z17" s="277"/>
      <c r="AA17" s="6"/>
      <c r="AB17" s="288"/>
    </row>
    <row r="18" spans="1:28" ht="15.75" thickBot="1" x14ac:dyDescent="0.3">
      <c r="A18" s="6"/>
      <c r="B18" s="45"/>
      <c r="C18" s="46" t="s">
        <v>167</v>
      </c>
      <c r="D18" s="46"/>
      <c r="E18" s="46"/>
      <c r="F18" s="60">
        <v>0.23</v>
      </c>
      <c r="G18" s="46"/>
      <c r="H18" s="46" t="str">
        <f t="shared" si="4"/>
        <v>אחוז תפוסה ממוצע לחודש נובמבר 2020</v>
      </c>
      <c r="I18" s="46"/>
      <c r="J18" s="181">
        <v>0.5</v>
      </c>
      <c r="K18" s="46"/>
      <c r="L18" s="46"/>
      <c r="M18" s="50" t="s">
        <v>42</v>
      </c>
      <c r="N18" s="46"/>
      <c r="O18" s="46"/>
      <c r="P18" s="46"/>
      <c r="Q18" s="46"/>
      <c r="R18" s="46"/>
      <c r="S18" s="46"/>
      <c r="T18" s="46"/>
      <c r="U18" s="46"/>
      <c r="V18" s="46"/>
      <c r="W18" s="46"/>
      <c r="X18" s="47"/>
      <c r="Y18" s="6"/>
      <c r="Z18" s="277"/>
      <c r="AA18" s="6"/>
      <c r="AB18" s="288"/>
    </row>
    <row r="19" spans="1:28" ht="15.75" thickBot="1" x14ac:dyDescent="0.3">
      <c r="A19" s="6"/>
      <c r="B19" s="45"/>
      <c r="C19" s="46"/>
      <c r="D19" s="46"/>
      <c r="E19" s="46"/>
      <c r="F19" s="46"/>
      <c r="G19" s="46"/>
      <c r="H19" s="46" t="str">
        <f t="shared" si="4"/>
        <v>אחוז תפוסה ממוצע לחודש דצמבר 2020</v>
      </c>
      <c r="I19" s="46"/>
      <c r="J19" s="181">
        <v>0.6</v>
      </c>
      <c r="K19" s="46"/>
      <c r="L19" s="46">
        <v>1</v>
      </c>
      <c r="M19" s="55" t="s">
        <v>342</v>
      </c>
      <c r="N19" s="46"/>
      <c r="O19" s="56">
        <v>1120000</v>
      </c>
      <c r="P19" s="280"/>
      <c r="Q19" s="104" t="s">
        <v>57</v>
      </c>
      <c r="R19" s="46"/>
      <c r="S19" s="56" t="s">
        <v>108</v>
      </c>
      <c r="T19" s="46"/>
      <c r="U19" s="104" t="s">
        <v>56</v>
      </c>
      <c r="V19" s="46"/>
      <c r="W19" s="104" t="s">
        <v>57</v>
      </c>
      <c r="X19" s="47"/>
      <c r="Y19" s="277"/>
      <c r="Z19" s="277"/>
      <c r="AA19" s="6"/>
      <c r="AB19" s="288"/>
    </row>
    <row r="20" spans="1:28" ht="15.75" thickBot="1" x14ac:dyDescent="0.3">
      <c r="A20" s="6"/>
      <c r="B20" s="45"/>
      <c r="C20" s="46"/>
      <c r="D20" s="46"/>
      <c r="E20" s="46"/>
      <c r="F20" s="46"/>
      <c r="G20" s="46"/>
      <c r="H20" s="46" t="str">
        <f t="shared" si="4"/>
        <v>אחוז תפוסה ממוצע לחודש ינואר 2021</v>
      </c>
      <c r="I20" s="46"/>
      <c r="J20" s="181">
        <v>0.7</v>
      </c>
      <c r="K20" s="46"/>
      <c r="L20" s="46">
        <v>2</v>
      </c>
      <c r="M20" s="55" t="s">
        <v>12</v>
      </c>
      <c r="N20" s="46"/>
      <c r="O20" s="56">
        <v>343000</v>
      </c>
      <c r="P20" s="280"/>
      <c r="Q20" s="104" t="s">
        <v>57</v>
      </c>
      <c r="R20" s="46"/>
      <c r="S20" s="56" t="s">
        <v>108</v>
      </c>
      <c r="T20" s="46"/>
      <c r="U20" s="104" t="s">
        <v>56</v>
      </c>
      <c r="V20" s="46"/>
      <c r="W20" s="104" t="s">
        <v>56</v>
      </c>
      <c r="X20" s="47"/>
      <c r="Y20" s="6"/>
      <c r="Z20" s="277"/>
      <c r="AA20" s="6"/>
      <c r="AB20" s="288"/>
    </row>
    <row r="21" spans="1:28" ht="15.75" thickBot="1" x14ac:dyDescent="0.3">
      <c r="A21" s="6"/>
      <c r="B21" s="45"/>
      <c r="C21" s="46"/>
      <c r="D21" s="46"/>
      <c r="E21" s="46"/>
      <c r="F21" s="46"/>
      <c r="G21" s="46"/>
      <c r="H21" s="46" t="str">
        <f t="shared" si="4"/>
        <v>אחוז תפוסה ממוצע לחודש פברואר 2021</v>
      </c>
      <c r="I21" s="46"/>
      <c r="J21" s="181">
        <v>0.4</v>
      </c>
      <c r="K21" s="46"/>
      <c r="L21" s="46">
        <v>3</v>
      </c>
      <c r="M21" s="55" t="s">
        <v>43</v>
      </c>
      <c r="N21" s="46"/>
      <c r="O21" s="56">
        <v>140000</v>
      </c>
      <c r="P21" s="280"/>
      <c r="Q21" s="104" t="s">
        <v>57</v>
      </c>
      <c r="R21" s="46"/>
      <c r="S21" s="56" t="s">
        <v>108</v>
      </c>
      <c r="T21" s="46"/>
      <c r="U21" s="104" t="s">
        <v>56</v>
      </c>
      <c r="V21" s="46"/>
      <c r="W21" s="104" t="s">
        <v>57</v>
      </c>
      <c r="X21" s="47"/>
      <c r="Y21" s="6"/>
      <c r="Z21" s="277"/>
      <c r="AA21" s="6"/>
      <c r="AB21" s="6"/>
    </row>
    <row r="22" spans="1:28" ht="15.75" thickBot="1" x14ac:dyDescent="0.3">
      <c r="A22" s="6"/>
      <c r="B22" s="45"/>
      <c r="C22" s="46"/>
      <c r="D22" s="46"/>
      <c r="E22" s="46"/>
      <c r="F22" s="46"/>
      <c r="G22" s="46"/>
      <c r="H22" s="46" t="str">
        <f t="shared" si="4"/>
        <v>אחוז תפוסה ממוצע לחודש מרץ 2021</v>
      </c>
      <c r="I22" s="46"/>
      <c r="J22" s="181">
        <v>0.7</v>
      </c>
      <c r="K22" s="46"/>
      <c r="L22" s="46">
        <v>4</v>
      </c>
      <c r="M22" s="55" t="s">
        <v>44</v>
      </c>
      <c r="N22" s="46"/>
      <c r="O22" s="56">
        <v>245000.00000000003</v>
      </c>
      <c r="P22" s="280"/>
      <c r="Q22" s="104" t="s">
        <v>57</v>
      </c>
      <c r="R22" s="46"/>
      <c r="S22" s="56" t="s">
        <v>108</v>
      </c>
      <c r="T22" s="46"/>
      <c r="U22" s="104" t="s">
        <v>56</v>
      </c>
      <c r="V22" s="46"/>
      <c r="W22" s="104" t="s">
        <v>56</v>
      </c>
      <c r="X22" s="47"/>
      <c r="Y22" s="6"/>
      <c r="Z22" s="277"/>
      <c r="AA22" s="6"/>
      <c r="AB22" s="6"/>
    </row>
    <row r="23" spans="1:28" ht="15.75" thickBot="1" x14ac:dyDescent="0.3">
      <c r="A23" s="6"/>
      <c r="B23" s="45"/>
      <c r="C23" s="46"/>
      <c r="D23" s="46"/>
      <c r="E23" s="46"/>
      <c r="F23" s="46"/>
      <c r="G23" s="46"/>
      <c r="H23" s="46" t="str">
        <f t="shared" si="4"/>
        <v>אחוז תפוסה ממוצע לחודש אפריל 2021</v>
      </c>
      <c r="I23" s="46"/>
      <c r="J23" s="181">
        <v>0.8</v>
      </c>
      <c r="K23" s="46"/>
      <c r="L23" s="46">
        <v>5</v>
      </c>
      <c r="M23" s="55" t="s">
        <v>45</v>
      </c>
      <c r="N23" s="46"/>
      <c r="O23" s="56">
        <v>52500</v>
      </c>
      <c r="P23" s="280"/>
      <c r="Q23" s="104" t="s">
        <v>57</v>
      </c>
      <c r="R23" s="46"/>
      <c r="S23" s="56" t="s">
        <v>110</v>
      </c>
      <c r="T23" s="46"/>
      <c r="U23" s="104" t="s">
        <v>56</v>
      </c>
      <c r="V23" s="46"/>
      <c r="W23" s="104" t="s">
        <v>56</v>
      </c>
      <c r="X23" s="47"/>
      <c r="Y23" s="6"/>
      <c r="Z23" s="277"/>
      <c r="AA23" s="6"/>
      <c r="AB23" s="6"/>
    </row>
    <row r="24" spans="1:28" ht="15.75" thickBot="1" x14ac:dyDescent="0.3">
      <c r="A24" s="6"/>
      <c r="B24" s="45"/>
      <c r="C24" s="46"/>
      <c r="D24" s="46"/>
      <c r="E24" s="46"/>
      <c r="F24" s="46"/>
      <c r="G24" s="46"/>
      <c r="H24" s="46" t="str">
        <f t="shared" si="4"/>
        <v>אחוז תפוסה ממוצע לחודש מאי 2021</v>
      </c>
      <c r="I24" s="46"/>
      <c r="J24" s="181">
        <v>0.9</v>
      </c>
      <c r="K24" s="46"/>
      <c r="L24" s="46">
        <v>6</v>
      </c>
      <c r="M24" s="55" t="s">
        <v>13</v>
      </c>
      <c r="N24" s="46"/>
      <c r="O24" s="56">
        <v>140000</v>
      </c>
      <c r="P24" s="280"/>
      <c r="Q24" s="104" t="s">
        <v>57</v>
      </c>
      <c r="R24" s="46"/>
      <c r="S24" s="56" t="s">
        <v>111</v>
      </c>
      <c r="T24" s="46"/>
      <c r="U24" s="104" t="s">
        <v>56</v>
      </c>
      <c r="V24" s="46"/>
      <c r="W24" s="104" t="s">
        <v>56</v>
      </c>
      <c r="X24" s="47"/>
      <c r="Y24" s="6"/>
      <c r="Z24" s="277"/>
      <c r="AA24" s="6"/>
      <c r="AB24" s="6"/>
    </row>
    <row r="25" spans="1:28" ht="13.5" customHeight="1" thickBot="1" x14ac:dyDescent="0.3">
      <c r="A25" s="6"/>
      <c r="B25" s="45"/>
      <c r="C25" s="46"/>
      <c r="D25" s="46"/>
      <c r="E25" s="46"/>
      <c r="F25" s="46"/>
      <c r="G25" s="46"/>
      <c r="H25" s="46" t="str">
        <f t="shared" si="4"/>
        <v>אחוז תפוסה ממוצע לחודש יוני 2021</v>
      </c>
      <c r="I25" s="46"/>
      <c r="J25" s="181">
        <v>1</v>
      </c>
      <c r="K25" s="46"/>
      <c r="L25" s="46">
        <v>7</v>
      </c>
      <c r="M25" s="55"/>
      <c r="N25" s="46"/>
      <c r="O25" s="56"/>
      <c r="P25" s="280"/>
      <c r="Q25" s="104"/>
      <c r="R25" s="46"/>
      <c r="S25" s="56"/>
      <c r="T25" s="46"/>
      <c r="U25" s="104"/>
      <c r="V25" s="46"/>
      <c r="W25" s="104"/>
      <c r="X25" s="47"/>
      <c r="Y25" s="6"/>
      <c r="Z25" s="277"/>
      <c r="AA25" s="6"/>
      <c r="AB25" s="6"/>
    </row>
    <row r="26" spans="1:28" ht="15.75" thickBot="1" x14ac:dyDescent="0.3">
      <c r="A26" s="6"/>
      <c r="B26" s="45"/>
      <c r="C26" s="46"/>
      <c r="D26" s="46"/>
      <c r="E26" s="46"/>
      <c r="F26" s="46"/>
      <c r="G26" s="46"/>
      <c r="H26" s="46"/>
      <c r="I26" s="46"/>
      <c r="J26" s="46"/>
      <c r="K26" s="46"/>
      <c r="L26" s="46">
        <v>8</v>
      </c>
      <c r="M26" s="55"/>
      <c r="N26" s="46"/>
      <c r="O26" s="56"/>
      <c r="P26" s="280"/>
      <c r="Q26" s="104"/>
      <c r="R26" s="46"/>
      <c r="S26" s="56"/>
      <c r="T26" s="46"/>
      <c r="U26" s="104"/>
      <c r="V26" s="46"/>
      <c r="W26" s="104"/>
      <c r="X26" s="47"/>
      <c r="Y26" s="6"/>
      <c r="Z26" s="6"/>
      <c r="AA26" s="6"/>
      <c r="AB26" s="6"/>
    </row>
    <row r="27" spans="1:28" ht="15.75" thickBot="1" x14ac:dyDescent="0.3">
      <c r="A27" s="6"/>
      <c r="B27" s="45"/>
      <c r="C27" s="46"/>
      <c r="D27" s="46"/>
      <c r="E27" s="46"/>
      <c r="F27" s="46"/>
      <c r="G27" s="46"/>
      <c r="H27" s="46"/>
      <c r="I27" s="46"/>
      <c r="J27" s="46"/>
      <c r="K27" s="46"/>
      <c r="L27" s="46">
        <v>9</v>
      </c>
      <c r="M27" s="55"/>
      <c r="N27" s="46"/>
      <c r="O27" s="56"/>
      <c r="P27" s="280"/>
      <c r="Q27" s="104"/>
      <c r="R27" s="46"/>
      <c r="S27" s="56"/>
      <c r="T27" s="46"/>
      <c r="U27" s="104"/>
      <c r="V27" s="46"/>
      <c r="W27" s="104"/>
      <c r="X27" s="47"/>
      <c r="Y27" s="6"/>
      <c r="Z27" s="6"/>
      <c r="AA27" s="6"/>
      <c r="AB27" s="6"/>
    </row>
    <row r="28" spans="1:28" ht="15.75" thickBot="1" x14ac:dyDescent="0.3">
      <c r="A28" s="6"/>
      <c r="B28" s="45"/>
      <c r="C28" s="46"/>
      <c r="D28" s="46"/>
      <c r="E28" s="46"/>
      <c r="F28" s="46"/>
      <c r="G28" s="46"/>
      <c r="H28" s="46"/>
      <c r="I28" s="46"/>
      <c r="J28" s="46"/>
      <c r="K28" s="46"/>
      <c r="L28" s="46">
        <v>10</v>
      </c>
      <c r="M28" s="55"/>
      <c r="N28" s="46"/>
      <c r="O28" s="56"/>
      <c r="P28" s="280"/>
      <c r="Q28" s="104"/>
      <c r="R28" s="46"/>
      <c r="S28" s="56"/>
      <c r="T28" s="46"/>
      <c r="U28" s="104"/>
      <c r="V28" s="46"/>
      <c r="W28" s="104"/>
      <c r="X28" s="47"/>
      <c r="Y28" s="6"/>
      <c r="Z28" s="6"/>
      <c r="AA28" s="6"/>
      <c r="AB28" s="6"/>
    </row>
    <row r="29" spans="1:28" x14ac:dyDescent="0.25">
      <c r="A29" s="6"/>
      <c r="B29" s="45"/>
      <c r="C29" s="46"/>
      <c r="D29" s="46"/>
      <c r="E29" s="46"/>
      <c r="F29" s="46"/>
      <c r="G29" s="46"/>
      <c r="H29" s="46"/>
      <c r="I29" s="46"/>
      <c r="J29" s="46"/>
      <c r="K29" s="46"/>
      <c r="L29" s="46"/>
      <c r="M29" s="66" t="s">
        <v>162</v>
      </c>
      <c r="N29" s="46"/>
      <c r="O29" s="163">
        <f>SUM(O19:O28)</f>
        <v>2040500</v>
      </c>
      <c r="P29" s="281"/>
      <c r="Q29" s="46"/>
      <c r="R29" s="46"/>
      <c r="S29" s="46"/>
      <c r="T29" s="46"/>
      <c r="U29" s="46"/>
      <c r="V29" s="46"/>
      <c r="W29" s="46"/>
      <c r="X29" s="47"/>
      <c r="Y29" s="6"/>
      <c r="Z29" s="6"/>
      <c r="AA29" s="6"/>
      <c r="AB29" s="6"/>
    </row>
    <row r="30" spans="1:28" x14ac:dyDescent="0.25">
      <c r="A30" s="6"/>
      <c r="B30" s="45"/>
      <c r="C30" s="46"/>
      <c r="D30" s="46"/>
      <c r="E30" s="46"/>
      <c r="F30" s="46"/>
      <c r="G30" s="46"/>
      <c r="H30" s="46"/>
      <c r="I30" s="46"/>
      <c r="J30" s="46"/>
      <c r="K30" s="46"/>
      <c r="L30" s="46"/>
      <c r="M30" s="46"/>
      <c r="N30" s="46"/>
      <c r="O30" s="46"/>
      <c r="P30" s="46"/>
      <c r="Q30" s="46"/>
      <c r="R30" s="46"/>
      <c r="S30" s="46"/>
      <c r="T30" s="46"/>
      <c r="U30" s="46"/>
      <c r="V30" s="46"/>
      <c r="W30" s="46"/>
      <c r="X30" s="47"/>
      <c r="Y30" s="6"/>
      <c r="Z30" s="6"/>
      <c r="AA30" s="6"/>
      <c r="AB30" s="6"/>
    </row>
    <row r="31" spans="1:28" x14ac:dyDescent="0.25">
      <c r="A31" s="6"/>
      <c r="B31" s="45"/>
      <c r="C31" s="46"/>
      <c r="D31" s="46"/>
      <c r="E31" s="46"/>
      <c r="F31" s="46"/>
      <c r="G31" s="46"/>
      <c r="H31" s="46"/>
      <c r="I31" s="46"/>
      <c r="J31" s="46"/>
      <c r="K31" s="46"/>
      <c r="L31" s="46"/>
      <c r="M31" s="66" t="s">
        <v>163</v>
      </c>
      <c r="N31" s="46"/>
      <c r="O31" s="163">
        <f>SUM(O16,O29)</f>
        <v>3146500</v>
      </c>
      <c r="P31" s="46"/>
      <c r="Q31" s="46"/>
      <c r="R31" s="46"/>
      <c r="S31" s="46"/>
      <c r="T31" s="46"/>
      <c r="U31" s="46"/>
      <c r="V31" s="46"/>
      <c r="W31" s="46"/>
      <c r="X31" s="47"/>
      <c r="Y31" s="6"/>
      <c r="Z31" s="6"/>
      <c r="AA31" s="6"/>
      <c r="AB31" s="6"/>
    </row>
    <row r="32" spans="1:28" ht="15.75" thickBot="1" x14ac:dyDescent="0.3">
      <c r="A32" s="6"/>
      <c r="B32" s="52"/>
      <c r="C32" s="53"/>
      <c r="D32" s="53"/>
      <c r="E32" s="53"/>
      <c r="F32" s="53"/>
      <c r="G32" s="53"/>
      <c r="H32" s="53"/>
      <c r="I32" s="53"/>
      <c r="J32" s="53"/>
      <c r="K32" s="53"/>
      <c r="L32" s="53"/>
      <c r="M32" s="53"/>
      <c r="N32" s="53"/>
      <c r="O32" s="53"/>
      <c r="P32" s="53"/>
      <c r="Q32" s="53"/>
      <c r="R32" s="53"/>
      <c r="S32" s="53"/>
      <c r="T32" s="53"/>
      <c r="U32" s="53"/>
      <c r="V32" s="53"/>
      <c r="W32" s="53"/>
      <c r="X32" s="54"/>
      <c r="Y32" s="6"/>
      <c r="Z32" s="6"/>
      <c r="AA32" s="6"/>
      <c r="AB32" s="6"/>
    </row>
    <row r="33" spans="1:28" ht="15.75" thickBo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row>
    <row r="34" spans="1:28" x14ac:dyDescent="0.25">
      <c r="A34" s="6"/>
      <c r="B34" s="109"/>
      <c r="C34" s="110"/>
      <c r="D34" s="110"/>
      <c r="E34" s="110"/>
      <c r="F34" s="110"/>
      <c r="G34" s="110"/>
      <c r="H34" s="110"/>
      <c r="I34" s="110"/>
      <c r="J34" s="110"/>
      <c r="K34" s="110"/>
      <c r="L34" s="110"/>
      <c r="M34" s="110"/>
      <c r="N34" s="110"/>
      <c r="O34" s="110"/>
      <c r="P34" s="110"/>
      <c r="Q34" s="110"/>
      <c r="R34" s="110"/>
      <c r="S34" s="110"/>
      <c r="T34" s="110"/>
      <c r="U34" s="110"/>
      <c r="V34" s="110"/>
      <c r="W34" s="110"/>
      <c r="X34" s="111"/>
      <c r="Y34" s="6"/>
      <c r="Z34" s="6"/>
      <c r="AA34" s="6"/>
      <c r="AB34" s="6"/>
    </row>
    <row r="35" spans="1:28" ht="26.25" x14ac:dyDescent="0.4">
      <c r="A35" s="6"/>
      <c r="B35" s="112"/>
      <c r="C35" s="118" t="s">
        <v>99</v>
      </c>
      <c r="D35" s="113"/>
      <c r="E35" s="113"/>
      <c r="F35" s="113"/>
      <c r="G35" s="113"/>
      <c r="H35" s="113"/>
      <c r="I35" s="113"/>
      <c r="J35" s="113"/>
      <c r="K35" s="113"/>
      <c r="L35" s="113"/>
      <c r="M35" s="113"/>
      <c r="N35" s="113"/>
      <c r="O35" s="113"/>
      <c r="P35" s="113"/>
      <c r="Q35" s="113"/>
      <c r="R35" s="113"/>
      <c r="S35" s="113"/>
      <c r="T35" s="113"/>
      <c r="U35" s="113"/>
      <c r="V35" s="113"/>
      <c r="W35" s="113"/>
      <c r="X35" s="114"/>
      <c r="Y35" s="6"/>
      <c r="Z35" s="6"/>
      <c r="AA35" s="6"/>
      <c r="AB35" s="6"/>
    </row>
    <row r="36" spans="1:28" x14ac:dyDescent="0.25">
      <c r="A36" s="6"/>
      <c r="B36" s="112"/>
      <c r="C36" s="113"/>
      <c r="D36" s="113"/>
      <c r="E36" s="113"/>
      <c r="F36" s="113"/>
      <c r="G36" s="113"/>
      <c r="H36" s="113"/>
      <c r="I36" s="113"/>
      <c r="J36" s="113"/>
      <c r="K36" s="113"/>
      <c r="L36" s="113"/>
      <c r="M36" s="113"/>
      <c r="N36" s="113"/>
      <c r="O36" s="113"/>
      <c r="P36" s="113"/>
      <c r="Q36" s="113"/>
      <c r="R36" s="113"/>
      <c r="S36" s="113"/>
      <c r="T36" s="113"/>
      <c r="U36" s="113"/>
      <c r="V36" s="113"/>
      <c r="W36" s="113"/>
      <c r="X36" s="114"/>
      <c r="Y36" s="6"/>
      <c r="Z36" s="6"/>
      <c r="AA36" s="6"/>
      <c r="AB36" s="6"/>
    </row>
    <row r="37" spans="1:28" ht="26.25" x14ac:dyDescent="0.4">
      <c r="A37" s="6"/>
      <c r="B37" s="112"/>
      <c r="C37" s="118" t="s">
        <v>100</v>
      </c>
      <c r="D37" s="113"/>
      <c r="E37" s="113"/>
      <c r="F37" s="113"/>
      <c r="G37" s="113"/>
      <c r="H37" s="118" t="s">
        <v>350</v>
      </c>
      <c r="I37" s="113"/>
      <c r="J37" s="113"/>
      <c r="K37" s="113"/>
      <c r="L37" s="113"/>
      <c r="M37" s="118" t="s">
        <v>351</v>
      </c>
      <c r="N37" s="113"/>
      <c r="O37" s="113"/>
      <c r="P37" s="113"/>
      <c r="Q37" s="113"/>
      <c r="R37" s="113"/>
      <c r="S37" s="113"/>
      <c r="T37" s="113"/>
      <c r="U37" s="113"/>
      <c r="V37" s="113"/>
      <c r="W37" s="113"/>
      <c r="X37" s="114"/>
      <c r="Y37" s="6"/>
      <c r="Z37" s="6"/>
      <c r="AA37" s="6"/>
      <c r="AB37" s="6"/>
    </row>
    <row r="38" spans="1:28" ht="15.75" thickBot="1" x14ac:dyDescent="0.3">
      <c r="A38" s="6"/>
      <c r="B38" s="112"/>
      <c r="C38" s="113"/>
      <c r="D38" s="113" t="s">
        <v>235</v>
      </c>
      <c r="E38" s="113"/>
      <c r="F38" s="113" t="s">
        <v>234</v>
      </c>
      <c r="G38" s="113"/>
      <c r="H38" s="113"/>
      <c r="I38" s="113"/>
      <c r="J38" s="113"/>
      <c r="K38" s="113"/>
      <c r="L38" s="113"/>
      <c r="M38" s="119"/>
      <c r="N38" s="119"/>
      <c r="O38" s="119"/>
      <c r="P38" s="113"/>
      <c r="Q38" s="113"/>
      <c r="R38" s="113"/>
      <c r="S38" s="113"/>
      <c r="T38" s="113"/>
      <c r="U38" s="113"/>
      <c r="V38" s="113"/>
      <c r="W38" s="113"/>
      <c r="X38" s="114"/>
      <c r="Y38" s="6"/>
      <c r="Z38" s="6"/>
      <c r="AA38" s="6"/>
      <c r="AB38" s="6"/>
    </row>
    <row r="39" spans="1:28" ht="15.75" thickBot="1" x14ac:dyDescent="0.3">
      <c r="A39" s="6"/>
      <c r="B39" s="112"/>
      <c r="C39" s="113" t="str">
        <f>"תשלום בגין"&amp;" "&amp;AE2&amp;" "&amp;AC2</f>
        <v>תשלום בגין יוני 2020</v>
      </c>
      <c r="D39" s="56">
        <v>80000</v>
      </c>
      <c r="E39" s="113"/>
      <c r="F39" s="56">
        <f>100000-D39</f>
        <v>20000</v>
      </c>
      <c r="G39" s="113"/>
      <c r="H39" s="113" t="s">
        <v>256</v>
      </c>
      <c r="I39" s="113"/>
      <c r="J39" s="60">
        <v>0.7</v>
      </c>
      <c r="K39" s="113"/>
      <c r="L39" s="113"/>
      <c r="M39" s="113" t="s">
        <v>257</v>
      </c>
      <c r="N39" s="113"/>
      <c r="O39" s="60">
        <v>0.9</v>
      </c>
      <c r="P39" s="113"/>
      <c r="Q39" s="113"/>
      <c r="R39" s="113"/>
      <c r="S39" s="113"/>
      <c r="T39" s="113"/>
      <c r="U39" s="113"/>
      <c r="V39" s="113"/>
      <c r="W39" s="113"/>
      <c r="X39" s="114"/>
      <c r="Y39" s="6"/>
      <c r="Z39" s="6"/>
      <c r="AA39" s="6"/>
      <c r="AB39" s="6"/>
    </row>
    <row r="40" spans="1:28" ht="15.75" thickBot="1" x14ac:dyDescent="0.3">
      <c r="A40" s="6"/>
      <c r="B40" s="112"/>
      <c r="C40" s="113" t="str">
        <f t="shared" ref="C40:C51" si="5">"תשלום בגין"&amp;" "&amp;AE3&amp;" "&amp;AC3</f>
        <v>תשלום בגין יולי 2020</v>
      </c>
      <c r="D40" s="56">
        <f>D39-2000</f>
        <v>78000</v>
      </c>
      <c r="E40" s="113"/>
      <c r="F40" s="56">
        <f t="shared" ref="F40:F51" si="6">100000-D40</f>
        <v>22000</v>
      </c>
      <c r="G40" s="113"/>
      <c r="H40" s="113"/>
      <c r="I40" s="113"/>
      <c r="J40" s="113"/>
      <c r="K40" s="113"/>
      <c r="L40" s="113"/>
      <c r="M40" s="113"/>
      <c r="N40" s="113"/>
      <c r="O40" s="113"/>
      <c r="P40" s="113"/>
      <c r="Q40" s="113"/>
      <c r="R40" s="113"/>
      <c r="S40" s="113"/>
      <c r="T40" s="113"/>
      <c r="U40" s="113"/>
      <c r="V40" s="113"/>
      <c r="W40" s="119"/>
      <c r="X40" s="114"/>
      <c r="Y40" s="6"/>
      <c r="Z40" s="6"/>
      <c r="AA40" s="6"/>
      <c r="AB40" s="6"/>
    </row>
    <row r="41" spans="1:28" ht="15.75" thickBot="1" x14ac:dyDescent="0.3">
      <c r="A41" s="6"/>
      <c r="B41" s="112"/>
      <c r="C41" s="113" t="str">
        <f t="shared" si="5"/>
        <v>תשלום בגין אוגוסט 2020</v>
      </c>
      <c r="D41" s="56">
        <f t="shared" ref="D41:D51" si="7">D40-2000</f>
        <v>76000</v>
      </c>
      <c r="E41" s="113"/>
      <c r="F41" s="56">
        <f t="shared" si="6"/>
        <v>24000</v>
      </c>
      <c r="G41" s="113"/>
      <c r="H41" s="113" t="s">
        <v>112</v>
      </c>
      <c r="I41" s="113"/>
      <c r="J41" s="56">
        <v>30</v>
      </c>
      <c r="K41" s="113"/>
      <c r="L41" s="113"/>
      <c r="M41" s="113" t="s">
        <v>195</v>
      </c>
      <c r="N41" s="119"/>
      <c r="O41" s="56">
        <v>60</v>
      </c>
      <c r="P41" s="113"/>
      <c r="Q41" s="113"/>
      <c r="R41" s="119"/>
      <c r="S41" s="119"/>
      <c r="T41" s="119"/>
      <c r="U41" s="119"/>
      <c r="V41" s="113"/>
      <c r="W41" s="113"/>
      <c r="X41" s="114"/>
      <c r="Y41" s="6"/>
      <c r="Z41" s="6"/>
      <c r="AA41" s="6"/>
      <c r="AB41" s="6"/>
    </row>
    <row r="42" spans="1:28" ht="15.75" thickBot="1" x14ac:dyDescent="0.3">
      <c r="A42" s="6"/>
      <c r="B42" s="112"/>
      <c r="C42" s="113" t="str">
        <f t="shared" si="5"/>
        <v>תשלום בגין ספטמבר 2020</v>
      </c>
      <c r="D42" s="56">
        <f t="shared" si="7"/>
        <v>74000</v>
      </c>
      <c r="E42" s="113"/>
      <c r="F42" s="56">
        <f t="shared" si="6"/>
        <v>26000</v>
      </c>
      <c r="G42" s="113"/>
      <c r="H42" s="113"/>
      <c r="I42" s="113"/>
      <c r="J42" s="113"/>
      <c r="K42" s="113"/>
      <c r="L42" s="113"/>
      <c r="M42" s="113"/>
      <c r="N42" s="113"/>
      <c r="O42" s="113"/>
      <c r="P42" s="113"/>
      <c r="Q42" s="113"/>
      <c r="R42" s="113"/>
      <c r="S42" s="119"/>
      <c r="T42" s="113"/>
      <c r="U42" s="119"/>
      <c r="V42" s="113"/>
      <c r="W42" s="113"/>
      <c r="X42" s="114"/>
      <c r="Y42" s="6"/>
      <c r="Z42" s="6"/>
      <c r="AA42" s="6"/>
      <c r="AB42" s="6"/>
    </row>
    <row r="43" spans="1:28" ht="15.75" thickBot="1" x14ac:dyDescent="0.3">
      <c r="A43" s="6"/>
      <c r="B43" s="112"/>
      <c r="C43" s="113" t="str">
        <f t="shared" si="5"/>
        <v>תשלום בגין אוקטובר 2020</v>
      </c>
      <c r="D43" s="56">
        <f t="shared" si="7"/>
        <v>72000</v>
      </c>
      <c r="E43" s="113"/>
      <c r="F43" s="56">
        <f t="shared" si="6"/>
        <v>28000</v>
      </c>
      <c r="G43" s="113"/>
      <c r="H43" s="113" t="str">
        <f>"יתרת לקוחות לתחילת"&amp;" "&amp;AE2&amp;" "&amp;AC2</f>
        <v>יתרת לקוחות לתחילת יוני 2020</v>
      </c>
      <c r="I43" s="119"/>
      <c r="J43" s="56">
        <v>800000</v>
      </c>
      <c r="K43" s="113"/>
      <c r="L43" s="113"/>
      <c r="M43" s="113" t="str">
        <f>"יתרת ספקים לתחילת"&amp;" "&amp;AE2&amp;" "&amp;AC2</f>
        <v>יתרת ספקים לתחילת יוני 2020</v>
      </c>
      <c r="N43" s="113"/>
      <c r="O43" s="56">
        <v>1200000</v>
      </c>
      <c r="P43" s="113"/>
      <c r="Q43" s="113"/>
      <c r="R43" s="113"/>
      <c r="S43" s="119"/>
      <c r="T43" s="113"/>
      <c r="U43" s="113"/>
      <c r="V43" s="113"/>
      <c r="W43" s="113"/>
      <c r="X43" s="114"/>
      <c r="Y43" s="6"/>
      <c r="Z43" s="6"/>
      <c r="AA43" s="6"/>
      <c r="AB43" s="6"/>
    </row>
    <row r="44" spans="1:28" ht="15.75" thickBot="1" x14ac:dyDescent="0.3">
      <c r="A44" s="6"/>
      <c r="B44" s="112"/>
      <c r="C44" s="113" t="str">
        <f t="shared" si="5"/>
        <v>תשלום בגין נובמבר 2020</v>
      </c>
      <c r="D44" s="56">
        <f t="shared" si="7"/>
        <v>70000</v>
      </c>
      <c r="E44" s="113"/>
      <c r="F44" s="56">
        <f t="shared" si="6"/>
        <v>30000</v>
      </c>
      <c r="G44" s="113"/>
      <c r="H44" s="113"/>
      <c r="I44" s="113"/>
      <c r="J44" s="113"/>
      <c r="K44" s="113"/>
      <c r="L44" s="113"/>
      <c r="M44" s="113"/>
      <c r="N44" s="113"/>
      <c r="O44" s="113"/>
      <c r="P44" s="113"/>
      <c r="Q44" s="113"/>
      <c r="R44" s="113"/>
      <c r="S44" s="119"/>
      <c r="T44" s="113"/>
      <c r="U44" s="113"/>
      <c r="V44" s="113"/>
      <c r="W44" s="113"/>
      <c r="X44" s="114"/>
      <c r="Y44" s="6"/>
      <c r="Z44" s="6"/>
      <c r="AA44" s="6"/>
      <c r="AB44" s="6"/>
    </row>
    <row r="45" spans="1:28" ht="15.75" thickBot="1" x14ac:dyDescent="0.3">
      <c r="A45" s="6"/>
      <c r="B45" s="112"/>
      <c r="C45" s="113" t="str">
        <f t="shared" si="5"/>
        <v>תשלום בגין דצמבר 2020</v>
      </c>
      <c r="D45" s="56">
        <f t="shared" si="7"/>
        <v>68000</v>
      </c>
      <c r="E45" s="113"/>
      <c r="F45" s="56">
        <f t="shared" si="6"/>
        <v>32000</v>
      </c>
      <c r="G45" s="113"/>
      <c r="H45" s="165" t="s">
        <v>326</v>
      </c>
      <c r="I45" s="113"/>
      <c r="J45" s="113"/>
      <c r="K45" s="113"/>
      <c r="L45" s="113"/>
      <c r="M45" s="165" t="s">
        <v>327</v>
      </c>
      <c r="N45" s="113"/>
      <c r="O45" s="113"/>
      <c r="P45" s="113"/>
      <c r="Q45" s="113"/>
      <c r="R45" s="113"/>
      <c r="S45" s="119"/>
      <c r="T45" s="113"/>
      <c r="U45" s="113"/>
      <c r="V45" s="113"/>
      <c r="W45" s="113"/>
      <c r="X45" s="114"/>
      <c r="Y45" s="6"/>
      <c r="Z45" s="6"/>
      <c r="AA45" s="6"/>
      <c r="AB45" s="6"/>
    </row>
    <row r="46" spans="1:28" ht="15.75" thickBot="1" x14ac:dyDescent="0.3">
      <c r="A46" s="6"/>
      <c r="B46" s="112"/>
      <c r="C46" s="113" t="str">
        <f t="shared" si="5"/>
        <v>תשלום בגין ינואר 2021</v>
      </c>
      <c r="D46" s="56">
        <f t="shared" si="7"/>
        <v>66000</v>
      </c>
      <c r="E46" s="113"/>
      <c r="F46" s="56">
        <f t="shared" si="6"/>
        <v>34000</v>
      </c>
      <c r="G46" s="113"/>
      <c r="H46" s="113"/>
      <c r="I46" s="113"/>
      <c r="J46" s="113"/>
      <c r="K46" s="113"/>
      <c r="L46" s="113"/>
      <c r="M46" s="113"/>
      <c r="N46" s="113"/>
      <c r="O46" s="113"/>
      <c r="P46" s="113"/>
      <c r="Q46" s="113"/>
      <c r="R46" s="113"/>
      <c r="S46" s="119"/>
      <c r="T46" s="113"/>
      <c r="U46" s="113"/>
      <c r="V46" s="113"/>
      <c r="W46" s="113"/>
      <c r="X46" s="114"/>
      <c r="Y46" s="6"/>
      <c r="Z46" s="6"/>
      <c r="AA46" s="6"/>
      <c r="AB46" s="6"/>
    </row>
    <row r="47" spans="1:28" ht="15.75" thickBot="1" x14ac:dyDescent="0.3">
      <c r="A47" s="6"/>
      <c r="B47" s="112"/>
      <c r="C47" s="113" t="str">
        <f t="shared" si="5"/>
        <v>תשלום בגין פברואר 2021</v>
      </c>
      <c r="D47" s="56">
        <f t="shared" si="7"/>
        <v>64000</v>
      </c>
      <c r="E47" s="113"/>
      <c r="F47" s="56">
        <f t="shared" si="6"/>
        <v>36000</v>
      </c>
      <c r="G47" s="113"/>
      <c r="H47" s="113"/>
      <c r="I47" s="113"/>
      <c r="J47" s="113"/>
      <c r="K47" s="113"/>
      <c r="L47" s="113"/>
      <c r="M47" s="113"/>
      <c r="N47" s="113"/>
      <c r="O47" s="113"/>
      <c r="P47" s="113"/>
      <c r="Q47" s="113"/>
      <c r="R47" s="113"/>
      <c r="S47" s="119"/>
      <c r="T47" s="113"/>
      <c r="U47" s="113"/>
      <c r="V47" s="113"/>
      <c r="W47" s="113"/>
      <c r="X47" s="114"/>
      <c r="Y47" s="6"/>
      <c r="Z47" s="6"/>
      <c r="AA47" s="6"/>
      <c r="AB47" s="6"/>
    </row>
    <row r="48" spans="1:28" ht="15.75" thickBot="1" x14ac:dyDescent="0.3">
      <c r="A48" s="6"/>
      <c r="B48" s="112"/>
      <c r="C48" s="113" t="str">
        <f t="shared" si="5"/>
        <v>תשלום בגין מרץ 2021</v>
      </c>
      <c r="D48" s="56">
        <f t="shared" si="7"/>
        <v>62000</v>
      </c>
      <c r="E48" s="113"/>
      <c r="F48" s="56">
        <f t="shared" si="6"/>
        <v>38000</v>
      </c>
      <c r="G48" s="113"/>
      <c r="H48" s="113"/>
      <c r="I48" s="113"/>
      <c r="J48" s="113"/>
      <c r="K48" s="113"/>
      <c r="L48" s="113"/>
      <c r="M48" s="113"/>
      <c r="N48" s="113"/>
      <c r="O48" s="113"/>
      <c r="P48" s="113"/>
      <c r="Q48" s="113"/>
      <c r="R48" s="113"/>
      <c r="S48" s="119"/>
      <c r="T48" s="113"/>
      <c r="U48" s="113"/>
      <c r="V48" s="113"/>
      <c r="W48" s="113"/>
      <c r="X48" s="114"/>
      <c r="Y48" s="6"/>
      <c r="Z48" s="6"/>
      <c r="AA48" s="6"/>
      <c r="AB48" s="6"/>
    </row>
    <row r="49" spans="1:28" ht="15.75" thickBot="1" x14ac:dyDescent="0.3">
      <c r="A49" s="6"/>
      <c r="B49" s="112"/>
      <c r="C49" s="113" t="str">
        <f t="shared" si="5"/>
        <v>תשלום בגין אפריל 2021</v>
      </c>
      <c r="D49" s="56">
        <f t="shared" si="7"/>
        <v>60000</v>
      </c>
      <c r="E49" s="113"/>
      <c r="F49" s="56">
        <f t="shared" si="6"/>
        <v>40000</v>
      </c>
      <c r="G49" s="113"/>
      <c r="H49" s="113"/>
      <c r="I49" s="113"/>
      <c r="J49" s="113"/>
      <c r="K49" s="113"/>
      <c r="L49" s="113"/>
      <c r="M49" s="113"/>
      <c r="N49" s="113"/>
      <c r="O49" s="113"/>
      <c r="P49" s="113"/>
      <c r="Q49" s="113"/>
      <c r="R49" s="113"/>
      <c r="S49" s="119"/>
      <c r="T49" s="113"/>
      <c r="U49" s="113"/>
      <c r="V49" s="113"/>
      <c r="W49" s="113"/>
      <c r="X49" s="114"/>
      <c r="Y49" s="6"/>
      <c r="Z49" s="6"/>
      <c r="AA49" s="6"/>
      <c r="AB49" s="6"/>
    </row>
    <row r="50" spans="1:28" ht="15.75" thickBot="1" x14ac:dyDescent="0.3">
      <c r="A50" s="6"/>
      <c r="B50" s="112"/>
      <c r="C50" s="113" t="str">
        <f t="shared" si="5"/>
        <v>תשלום בגין מאי 2021</v>
      </c>
      <c r="D50" s="56">
        <f t="shared" si="7"/>
        <v>58000</v>
      </c>
      <c r="E50" s="113"/>
      <c r="F50" s="56">
        <f t="shared" si="6"/>
        <v>42000</v>
      </c>
      <c r="G50" s="113"/>
      <c r="H50" s="113"/>
      <c r="I50" s="113"/>
      <c r="J50" s="113"/>
      <c r="K50" s="113"/>
      <c r="L50" s="113"/>
      <c r="M50" s="113"/>
      <c r="N50" s="113"/>
      <c r="O50" s="113"/>
      <c r="P50" s="113"/>
      <c r="Q50" s="113"/>
      <c r="R50" s="113"/>
      <c r="S50" s="119"/>
      <c r="T50" s="113"/>
      <c r="U50" s="113"/>
      <c r="V50" s="113"/>
      <c r="W50" s="113"/>
      <c r="X50" s="114"/>
      <c r="Y50" s="6"/>
      <c r="Z50" s="6"/>
      <c r="AA50" s="6"/>
      <c r="AB50" s="6"/>
    </row>
    <row r="51" spans="1:28" ht="15.75" thickBot="1" x14ac:dyDescent="0.3">
      <c r="A51" s="6"/>
      <c r="B51" s="112"/>
      <c r="C51" s="113" t="str">
        <f t="shared" si="5"/>
        <v>תשלום בגין יוני 2021</v>
      </c>
      <c r="D51" s="56">
        <f t="shared" si="7"/>
        <v>56000</v>
      </c>
      <c r="E51" s="113"/>
      <c r="F51" s="56">
        <f t="shared" si="6"/>
        <v>44000</v>
      </c>
      <c r="G51" s="113"/>
      <c r="H51" s="113"/>
      <c r="I51" s="113"/>
      <c r="J51" s="113"/>
      <c r="K51" s="113"/>
      <c r="L51" s="113"/>
      <c r="M51" s="113"/>
      <c r="N51" s="113"/>
      <c r="O51" s="113"/>
      <c r="P51" s="113"/>
      <c r="Q51" s="113"/>
      <c r="R51" s="113"/>
      <c r="S51" s="119"/>
      <c r="T51" s="113"/>
      <c r="U51" s="113"/>
      <c r="V51" s="113"/>
      <c r="W51" s="113"/>
      <c r="X51" s="114"/>
      <c r="Y51" s="6"/>
      <c r="Z51" s="6"/>
      <c r="AA51" s="6"/>
      <c r="AB51" s="6"/>
    </row>
    <row r="52" spans="1:28" ht="15.75" thickBot="1" x14ac:dyDescent="0.3">
      <c r="A52" s="6"/>
      <c r="B52" s="115"/>
      <c r="C52" s="116"/>
      <c r="D52" s="116"/>
      <c r="E52" s="116"/>
      <c r="F52" s="116"/>
      <c r="G52" s="116"/>
      <c r="H52" s="116"/>
      <c r="I52" s="116"/>
      <c r="J52" s="116"/>
      <c r="K52" s="116"/>
      <c r="L52" s="116"/>
      <c r="M52" s="116"/>
      <c r="N52" s="116"/>
      <c r="O52" s="116"/>
      <c r="P52" s="116"/>
      <c r="Q52" s="116"/>
      <c r="R52" s="116"/>
      <c r="S52" s="116"/>
      <c r="T52" s="116"/>
      <c r="U52" s="116"/>
      <c r="V52" s="116"/>
      <c r="W52" s="116"/>
      <c r="X52" s="117"/>
      <c r="Y52" s="6"/>
      <c r="Z52" s="6"/>
      <c r="AA52" s="6"/>
      <c r="AB52" s="6"/>
    </row>
    <row r="53" spans="1:28" ht="15.75" thickBo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row>
    <row r="54" spans="1:28" x14ac:dyDescent="0.25">
      <c r="A54" s="6"/>
      <c r="B54" s="109"/>
      <c r="C54" s="110"/>
      <c r="D54" s="110"/>
      <c r="E54" s="110"/>
      <c r="F54" s="110"/>
      <c r="G54" s="110"/>
      <c r="H54" s="110"/>
      <c r="I54" s="110"/>
      <c r="J54" s="110"/>
      <c r="K54" s="110"/>
      <c r="L54" s="110"/>
      <c r="M54" s="110"/>
      <c r="N54" s="110"/>
      <c r="O54" s="110"/>
      <c r="P54" s="110"/>
      <c r="Q54" s="110"/>
      <c r="R54" s="110"/>
      <c r="S54" s="110"/>
      <c r="T54" s="110"/>
      <c r="U54" s="110"/>
      <c r="V54" s="110"/>
      <c r="W54" s="110"/>
      <c r="X54" s="111"/>
      <c r="Y54" s="6"/>
      <c r="Z54" s="6"/>
      <c r="AA54" s="6"/>
      <c r="AB54" s="6"/>
    </row>
    <row r="55" spans="1:28" ht="26.25" x14ac:dyDescent="0.4">
      <c r="A55" s="6"/>
      <c r="B55" s="112"/>
      <c r="C55" s="118" t="s">
        <v>301</v>
      </c>
      <c r="D55" s="113"/>
      <c r="E55" s="113"/>
      <c r="F55" s="113"/>
      <c r="G55" s="119"/>
      <c r="H55" s="119"/>
      <c r="I55" s="119"/>
      <c r="J55" s="119"/>
      <c r="K55" s="113"/>
      <c r="L55" s="113"/>
      <c r="M55" s="119"/>
      <c r="N55" s="119"/>
      <c r="O55" s="119"/>
      <c r="P55" s="113"/>
      <c r="Q55" s="113"/>
      <c r="R55" s="113"/>
      <c r="S55" s="119"/>
      <c r="T55" s="113"/>
      <c r="U55" s="113"/>
      <c r="V55" s="113"/>
      <c r="W55" s="113"/>
      <c r="X55" s="114"/>
      <c r="Y55" s="6"/>
      <c r="Z55" s="6"/>
      <c r="AA55" s="6"/>
      <c r="AB55" s="6"/>
    </row>
    <row r="56" spans="1:28" hidden="1" outlineLevel="1" x14ac:dyDescent="0.25">
      <c r="A56" s="6"/>
      <c r="B56" s="112"/>
      <c r="C56" s="113"/>
      <c r="D56" s="113"/>
      <c r="E56" s="113"/>
      <c r="F56" s="113"/>
      <c r="G56" s="119"/>
      <c r="H56" s="119"/>
      <c r="I56" s="119"/>
      <c r="J56" s="119"/>
      <c r="K56" s="113"/>
      <c r="L56" s="113"/>
      <c r="M56" s="119"/>
      <c r="N56" s="119"/>
      <c r="O56" s="119"/>
      <c r="P56" s="113"/>
      <c r="Q56" s="113"/>
      <c r="R56" s="113"/>
      <c r="S56" s="119"/>
      <c r="T56" s="113"/>
      <c r="U56" s="113"/>
      <c r="V56" s="113"/>
      <c r="W56" s="113"/>
      <c r="X56" s="114"/>
      <c r="Y56" s="6"/>
      <c r="Z56" s="6"/>
      <c r="AA56" s="6"/>
      <c r="AB56" s="6"/>
    </row>
    <row r="57" spans="1:28" ht="26.25" hidden="1" outlineLevel="1" x14ac:dyDescent="0.4">
      <c r="A57" s="6"/>
      <c r="B57" s="112"/>
      <c r="C57" s="118" t="s">
        <v>102</v>
      </c>
      <c r="D57" s="119"/>
      <c r="E57" s="113"/>
      <c r="F57" s="113"/>
      <c r="G57" s="118" t="s">
        <v>286</v>
      </c>
      <c r="H57" s="113"/>
      <c r="I57" s="113"/>
      <c r="J57" s="119"/>
      <c r="K57" s="113"/>
      <c r="L57" s="199" t="s">
        <v>224</v>
      </c>
      <c r="M57" s="113"/>
      <c r="N57" s="113"/>
      <c r="O57" s="119"/>
      <c r="P57" s="113"/>
      <c r="Q57" s="118" t="s">
        <v>214</v>
      </c>
      <c r="R57" s="113"/>
      <c r="S57" s="113"/>
      <c r="T57" s="113"/>
      <c r="U57" s="113"/>
      <c r="V57" s="113"/>
      <c r="W57" s="113"/>
      <c r="X57" s="114"/>
      <c r="Y57" s="6"/>
      <c r="Z57" s="6"/>
      <c r="AA57" s="6"/>
      <c r="AB57" s="6"/>
    </row>
    <row r="58" spans="1:28" ht="15.75" hidden="1" outlineLevel="1" thickBot="1" x14ac:dyDescent="0.3">
      <c r="A58" s="6"/>
      <c r="B58" s="112"/>
      <c r="C58" s="119"/>
      <c r="D58" s="119"/>
      <c r="E58" s="113"/>
      <c r="F58" s="113"/>
      <c r="G58" s="113"/>
      <c r="H58" s="113"/>
      <c r="I58" s="113"/>
      <c r="J58" s="119"/>
      <c r="K58" s="113"/>
      <c r="L58" s="113"/>
      <c r="M58" s="113"/>
      <c r="N58" s="113"/>
      <c r="O58" s="119"/>
      <c r="P58" s="113"/>
      <c r="Q58" s="113"/>
      <c r="R58" s="113"/>
      <c r="S58" s="113"/>
      <c r="T58" s="113"/>
      <c r="U58" s="113"/>
      <c r="V58" s="113"/>
      <c r="W58" s="113"/>
      <c r="X58" s="114"/>
      <c r="Y58" s="6"/>
      <c r="Z58" s="6"/>
      <c r="AA58" s="6"/>
      <c r="AB58" s="6"/>
    </row>
    <row r="59" spans="1:28" ht="15.75" hidden="1" outlineLevel="1" thickBot="1" x14ac:dyDescent="0.3">
      <c r="A59" s="6"/>
      <c r="B59" s="112"/>
      <c r="C59" s="113" t="str">
        <f>"מחיר ממוצע צפוי ל"&amp;AE2&amp;" "&amp;AC2</f>
        <v>מחיר ממוצע צפוי ליוני 2020</v>
      </c>
      <c r="D59" s="119"/>
      <c r="E59" s="113"/>
      <c r="F59" s="56"/>
      <c r="G59" s="119"/>
      <c r="H59" s="113" t="s">
        <v>234</v>
      </c>
      <c r="I59" s="119"/>
      <c r="J59" s="56"/>
      <c r="K59" s="113"/>
      <c r="L59" s="113" t="str">
        <f>"פחת צפוי בגין השקעות עבר ב"&amp;AE2&amp;" "&amp;AC2</f>
        <v>פחת צפוי בגין השקעות עבר ביוני 2020</v>
      </c>
      <c r="M59" s="113"/>
      <c r="N59" s="113"/>
      <c r="O59" s="219"/>
      <c r="P59" s="113"/>
      <c r="Q59" s="113" t="s">
        <v>223</v>
      </c>
      <c r="R59" s="113"/>
      <c r="S59" s="56"/>
      <c r="T59" s="113"/>
      <c r="U59" s="113"/>
      <c r="V59" s="113"/>
      <c r="W59" s="113"/>
      <c r="X59" s="114"/>
      <c r="Y59" s="6"/>
      <c r="Z59" s="6"/>
      <c r="AA59" s="6"/>
      <c r="AB59" s="6"/>
    </row>
    <row r="60" spans="1:28" ht="15.75" hidden="1" outlineLevel="1" thickBot="1" x14ac:dyDescent="0.3">
      <c r="A60" s="6"/>
      <c r="B60" s="112"/>
      <c r="C60" s="113" t="str">
        <f t="shared" ref="C60:C71" si="8">"מחיר ממוצע צפוי ל"&amp;AE3&amp;" "&amp;AC3</f>
        <v>מחיר ממוצע צפוי ליולי 2020</v>
      </c>
      <c r="D60" s="119"/>
      <c r="E60" s="113"/>
      <c r="F60" s="56"/>
      <c r="G60" s="119"/>
      <c r="H60" s="113" t="s">
        <v>243</v>
      </c>
      <c r="I60" s="119"/>
      <c r="J60" s="227"/>
      <c r="K60" s="113"/>
      <c r="L60" s="113" t="str">
        <f t="shared" ref="L60:L71" si="9">"פחת צפוי בגין השקעות עבר ב"&amp;AE3&amp;" "&amp;AC3</f>
        <v>פחת צפוי בגין השקעות עבר ביולי 2020</v>
      </c>
      <c r="M60" s="113"/>
      <c r="N60" s="113"/>
      <c r="O60" s="219"/>
      <c r="P60" s="113"/>
      <c r="Q60" s="113"/>
      <c r="R60" s="113"/>
      <c r="S60" s="113"/>
      <c r="T60" s="113"/>
      <c r="U60" s="113"/>
      <c r="V60" s="113"/>
      <c r="W60" s="113"/>
      <c r="X60" s="114"/>
      <c r="Y60" s="6"/>
      <c r="Z60" s="6"/>
      <c r="AA60" s="6"/>
      <c r="AB60" s="6"/>
    </row>
    <row r="61" spans="1:28" ht="15.75" hidden="1" outlineLevel="1" thickBot="1" x14ac:dyDescent="0.3">
      <c r="A61" s="6"/>
      <c r="B61" s="112"/>
      <c r="C61" s="113" t="str">
        <f t="shared" si="8"/>
        <v>מחיר ממוצע צפוי לאוגוסט 2020</v>
      </c>
      <c r="D61" s="119"/>
      <c r="E61" s="113"/>
      <c r="F61" s="56"/>
      <c r="G61" s="119"/>
      <c r="H61" s="113" t="s">
        <v>15</v>
      </c>
      <c r="I61" s="119"/>
      <c r="J61" s="56"/>
      <c r="K61" s="113"/>
      <c r="L61" s="113" t="str">
        <f t="shared" si="9"/>
        <v>פחת צפוי בגין השקעות עבר באוגוסט 2020</v>
      </c>
      <c r="M61" s="113"/>
      <c r="N61" s="113"/>
      <c r="O61" s="219"/>
      <c r="P61" s="113"/>
      <c r="Q61" s="113" t="str">
        <f>"השקעה צפויה ברכוש קבוע ב"&amp;AE2&amp;" "&amp;AC2</f>
        <v>השקעה צפויה ברכוש קבוע ביוני 2020</v>
      </c>
      <c r="R61" s="113"/>
      <c r="S61" s="56"/>
      <c r="T61" s="113"/>
      <c r="U61" s="113"/>
      <c r="V61" s="113"/>
      <c r="W61" s="113"/>
      <c r="X61" s="114"/>
      <c r="Y61" s="6"/>
      <c r="Z61" s="6"/>
      <c r="AA61" s="6"/>
      <c r="AB61" s="6"/>
    </row>
    <row r="62" spans="1:28" ht="15.75" hidden="1" outlineLevel="1" thickBot="1" x14ac:dyDescent="0.3">
      <c r="A62" s="6"/>
      <c r="B62" s="112"/>
      <c r="C62" s="113" t="str">
        <f t="shared" si="8"/>
        <v>מחיר ממוצע צפוי לספטמבר 2020</v>
      </c>
      <c r="D62" s="119"/>
      <c r="E62" s="113"/>
      <c r="F62" s="56"/>
      <c r="G62" s="119"/>
      <c r="H62" s="113" t="s">
        <v>242</v>
      </c>
      <c r="I62" s="119"/>
      <c r="J62" s="226"/>
      <c r="K62" s="113"/>
      <c r="L62" s="113" t="str">
        <f t="shared" si="9"/>
        <v>פחת צפוי בגין השקעות עבר בספטמבר 2020</v>
      </c>
      <c r="M62" s="113"/>
      <c r="N62" s="113"/>
      <c r="O62" s="219"/>
      <c r="P62" s="113"/>
      <c r="Q62" s="113" t="str">
        <f t="shared" ref="Q62:Q73" si="10">"השקעה צפויה ברכוש קבוע ב"&amp;AE3&amp;" "&amp;AC3</f>
        <v>השקעה צפויה ברכוש קבוע ביולי 2020</v>
      </c>
      <c r="R62" s="113"/>
      <c r="S62" s="56"/>
      <c r="T62" s="113"/>
      <c r="U62" s="113"/>
      <c r="V62" s="113"/>
      <c r="W62" s="113"/>
      <c r="X62" s="114"/>
      <c r="Y62" s="6"/>
      <c r="Z62" s="6"/>
      <c r="AA62" s="6"/>
      <c r="AB62" s="6"/>
    </row>
    <row r="63" spans="1:28" ht="15.75" hidden="1" outlineLevel="1" thickBot="1" x14ac:dyDescent="0.3">
      <c r="A63" s="6"/>
      <c r="B63" s="112"/>
      <c r="C63" s="113" t="str">
        <f t="shared" si="8"/>
        <v>מחיר ממוצע צפוי לאוקטובר 2020</v>
      </c>
      <c r="D63" s="119"/>
      <c r="E63" s="113"/>
      <c r="F63" s="56"/>
      <c r="G63" s="113"/>
      <c r="H63" s="113"/>
      <c r="I63" s="113"/>
      <c r="J63" s="113"/>
      <c r="K63" s="113"/>
      <c r="L63" s="113" t="str">
        <f t="shared" si="9"/>
        <v>פחת צפוי בגין השקעות עבר באוקטובר 2020</v>
      </c>
      <c r="M63" s="113"/>
      <c r="N63" s="113"/>
      <c r="O63" s="219"/>
      <c r="P63" s="113"/>
      <c r="Q63" s="113" t="str">
        <f t="shared" si="10"/>
        <v>השקעה צפויה ברכוש קבוע באוגוסט 2020</v>
      </c>
      <c r="R63" s="113"/>
      <c r="S63" s="56"/>
      <c r="T63" s="113"/>
      <c r="U63" s="113"/>
      <c r="V63" s="113"/>
      <c r="W63" s="113"/>
      <c r="X63" s="114"/>
      <c r="Y63" s="6"/>
      <c r="Z63" s="6"/>
      <c r="AA63" s="6"/>
      <c r="AB63" s="6"/>
    </row>
    <row r="64" spans="1:28" ht="15.75" hidden="1" outlineLevel="1" thickBot="1" x14ac:dyDescent="0.3">
      <c r="A64" s="6"/>
      <c r="B64" s="112"/>
      <c r="C64" s="113" t="str">
        <f t="shared" si="8"/>
        <v>מחיר ממוצע צפוי לנובמבר 2020</v>
      </c>
      <c r="D64" s="119"/>
      <c r="E64" s="113"/>
      <c r="F64" s="56"/>
      <c r="G64" s="113"/>
      <c r="H64" s="113"/>
      <c r="I64" s="113"/>
      <c r="J64" s="113"/>
      <c r="K64" s="113"/>
      <c r="L64" s="113" t="str">
        <f t="shared" si="9"/>
        <v>פחת צפוי בגין השקעות עבר בנובמבר 2020</v>
      </c>
      <c r="M64" s="113"/>
      <c r="N64" s="113"/>
      <c r="O64" s="219"/>
      <c r="P64" s="113"/>
      <c r="Q64" s="113" t="str">
        <f t="shared" si="10"/>
        <v>השקעה צפויה ברכוש קבוע בספטמבר 2020</v>
      </c>
      <c r="R64" s="113"/>
      <c r="S64" s="56"/>
      <c r="T64" s="113"/>
      <c r="U64" s="113"/>
      <c r="V64" s="113"/>
      <c r="W64" s="113"/>
      <c r="X64" s="114"/>
      <c r="Y64" s="6"/>
      <c r="Z64" s="6"/>
      <c r="AA64" s="6"/>
      <c r="AB64" s="6"/>
    </row>
    <row r="65" spans="1:28" ht="15.75" hidden="1" outlineLevel="1" thickBot="1" x14ac:dyDescent="0.3">
      <c r="A65" s="6"/>
      <c r="B65" s="112"/>
      <c r="C65" s="113" t="str">
        <f t="shared" si="8"/>
        <v>מחיר ממוצע צפוי לדצמבר 2020</v>
      </c>
      <c r="D65" s="119"/>
      <c r="E65" s="113"/>
      <c r="F65" s="56"/>
      <c r="G65" s="113"/>
      <c r="H65" s="113"/>
      <c r="I65" s="113"/>
      <c r="J65" s="113"/>
      <c r="K65" s="113"/>
      <c r="L65" s="113" t="str">
        <f t="shared" si="9"/>
        <v>פחת צפוי בגין השקעות עבר בדצמבר 2020</v>
      </c>
      <c r="M65" s="113"/>
      <c r="N65" s="113"/>
      <c r="O65" s="219"/>
      <c r="P65" s="113"/>
      <c r="Q65" s="113" t="str">
        <f t="shared" si="10"/>
        <v>השקעה צפויה ברכוש קבוע באוקטובר 2020</v>
      </c>
      <c r="R65" s="113"/>
      <c r="S65" s="56"/>
      <c r="T65" s="113"/>
      <c r="U65" s="113"/>
      <c r="V65" s="113"/>
      <c r="W65" s="113"/>
      <c r="X65" s="114"/>
      <c r="Y65" s="6"/>
      <c r="Z65" s="6"/>
      <c r="AA65" s="6"/>
      <c r="AB65" s="6"/>
    </row>
    <row r="66" spans="1:28" ht="15.75" hidden="1" outlineLevel="1" thickBot="1" x14ac:dyDescent="0.3">
      <c r="A66" s="6"/>
      <c r="B66" s="112"/>
      <c r="C66" s="113" t="str">
        <f t="shared" si="8"/>
        <v>מחיר ממוצע צפוי לינואר 2021</v>
      </c>
      <c r="D66" s="119"/>
      <c r="E66" s="113"/>
      <c r="F66" s="56"/>
      <c r="G66" s="113"/>
      <c r="H66" s="113"/>
      <c r="I66" s="113"/>
      <c r="J66" s="113"/>
      <c r="K66" s="113"/>
      <c r="L66" s="113" t="str">
        <f t="shared" si="9"/>
        <v>פחת צפוי בגין השקעות עבר בינואר 2021</v>
      </c>
      <c r="M66" s="113"/>
      <c r="N66" s="113"/>
      <c r="O66" s="219"/>
      <c r="P66" s="113"/>
      <c r="Q66" s="113" t="str">
        <f t="shared" si="10"/>
        <v>השקעה צפויה ברכוש קבוע בנובמבר 2020</v>
      </c>
      <c r="R66" s="113"/>
      <c r="S66" s="56"/>
      <c r="T66" s="113"/>
      <c r="U66" s="113"/>
      <c r="V66" s="113"/>
      <c r="W66" s="113"/>
      <c r="X66" s="114"/>
      <c r="Y66" s="6"/>
      <c r="Z66" s="6"/>
      <c r="AA66" s="6"/>
      <c r="AB66" s="6"/>
    </row>
    <row r="67" spans="1:28" ht="15.75" hidden="1" outlineLevel="1" thickBot="1" x14ac:dyDescent="0.3">
      <c r="A67" s="6"/>
      <c r="B67" s="112"/>
      <c r="C67" s="113" t="str">
        <f t="shared" si="8"/>
        <v>מחיר ממוצע צפוי לפברואר 2021</v>
      </c>
      <c r="D67" s="119"/>
      <c r="E67" s="113"/>
      <c r="F67" s="56"/>
      <c r="G67" s="113"/>
      <c r="H67" s="113"/>
      <c r="I67" s="113"/>
      <c r="J67" s="113"/>
      <c r="K67" s="113"/>
      <c r="L67" s="113" t="str">
        <f t="shared" si="9"/>
        <v>פחת צפוי בגין השקעות עבר בפברואר 2021</v>
      </c>
      <c r="M67" s="113"/>
      <c r="N67" s="113"/>
      <c r="O67" s="219"/>
      <c r="P67" s="113"/>
      <c r="Q67" s="113" t="str">
        <f t="shared" si="10"/>
        <v>השקעה צפויה ברכוש קבוע בדצמבר 2020</v>
      </c>
      <c r="R67" s="113"/>
      <c r="S67" s="56"/>
      <c r="T67" s="113"/>
      <c r="U67" s="113"/>
      <c r="V67" s="113"/>
      <c r="W67" s="113"/>
      <c r="X67" s="114"/>
      <c r="Y67" s="6"/>
      <c r="Z67" s="6"/>
      <c r="AA67" s="6"/>
      <c r="AB67" s="6"/>
    </row>
    <row r="68" spans="1:28" ht="15.75" hidden="1" outlineLevel="1" thickBot="1" x14ac:dyDescent="0.3">
      <c r="A68" s="6"/>
      <c r="B68" s="112"/>
      <c r="C68" s="113" t="str">
        <f t="shared" si="8"/>
        <v>מחיר ממוצע צפוי למרץ 2021</v>
      </c>
      <c r="D68" s="119"/>
      <c r="E68" s="113"/>
      <c r="F68" s="56"/>
      <c r="G68" s="113"/>
      <c r="H68" s="113"/>
      <c r="I68" s="113"/>
      <c r="J68" s="113"/>
      <c r="K68" s="113"/>
      <c r="L68" s="113" t="str">
        <f t="shared" si="9"/>
        <v>פחת צפוי בגין השקעות עבר במרץ 2021</v>
      </c>
      <c r="M68" s="113"/>
      <c r="N68" s="113"/>
      <c r="O68" s="219"/>
      <c r="P68" s="113"/>
      <c r="Q68" s="113" t="str">
        <f t="shared" si="10"/>
        <v>השקעה צפויה ברכוש קבוע בינואר 2021</v>
      </c>
      <c r="R68" s="113"/>
      <c r="S68" s="56"/>
      <c r="T68" s="113"/>
      <c r="U68" s="113"/>
      <c r="V68" s="113"/>
      <c r="W68" s="113"/>
      <c r="X68" s="114"/>
      <c r="Y68" s="6"/>
      <c r="Z68" s="6"/>
      <c r="AA68" s="6"/>
      <c r="AB68" s="6"/>
    </row>
    <row r="69" spans="1:28" ht="15.75" hidden="1" outlineLevel="1" thickBot="1" x14ac:dyDescent="0.3">
      <c r="A69" s="6"/>
      <c r="B69" s="112"/>
      <c r="C69" s="113" t="str">
        <f t="shared" si="8"/>
        <v>מחיר ממוצע צפוי לאפריל 2021</v>
      </c>
      <c r="D69" s="119"/>
      <c r="E69" s="113"/>
      <c r="F69" s="56"/>
      <c r="G69" s="113"/>
      <c r="H69" s="113"/>
      <c r="I69" s="113"/>
      <c r="J69" s="113"/>
      <c r="K69" s="113"/>
      <c r="L69" s="113" t="str">
        <f t="shared" si="9"/>
        <v>פחת צפוי בגין השקעות עבר באפריל 2021</v>
      </c>
      <c r="M69" s="113"/>
      <c r="N69" s="113"/>
      <c r="O69" s="219"/>
      <c r="P69" s="113"/>
      <c r="Q69" s="113" t="str">
        <f t="shared" si="10"/>
        <v>השקעה צפויה ברכוש קבוע בפברואר 2021</v>
      </c>
      <c r="R69" s="113"/>
      <c r="S69" s="56"/>
      <c r="T69" s="113"/>
      <c r="U69" s="113"/>
      <c r="V69" s="113"/>
      <c r="W69" s="113"/>
      <c r="X69" s="114"/>
      <c r="Y69" s="6"/>
      <c r="Z69" s="6"/>
      <c r="AA69" s="6"/>
      <c r="AB69" s="6"/>
    </row>
    <row r="70" spans="1:28" ht="15.75" hidden="1" outlineLevel="1" thickBot="1" x14ac:dyDescent="0.3">
      <c r="A70" s="6"/>
      <c r="B70" s="112"/>
      <c r="C70" s="113" t="str">
        <f t="shared" si="8"/>
        <v>מחיר ממוצע צפוי למאי 2021</v>
      </c>
      <c r="D70" s="119"/>
      <c r="E70" s="113"/>
      <c r="F70" s="56"/>
      <c r="G70" s="113"/>
      <c r="H70" s="113"/>
      <c r="I70" s="113"/>
      <c r="J70" s="113"/>
      <c r="K70" s="113"/>
      <c r="L70" s="113" t="str">
        <f t="shared" si="9"/>
        <v>פחת צפוי בגין השקעות עבר במאי 2021</v>
      </c>
      <c r="M70" s="113"/>
      <c r="N70" s="113"/>
      <c r="O70" s="219"/>
      <c r="P70" s="113"/>
      <c r="Q70" s="113" t="str">
        <f t="shared" si="10"/>
        <v>השקעה צפויה ברכוש קבוע במרץ 2021</v>
      </c>
      <c r="R70" s="113"/>
      <c r="S70" s="56"/>
      <c r="T70" s="113"/>
      <c r="U70" s="113"/>
      <c r="V70" s="113"/>
      <c r="W70" s="113"/>
      <c r="X70" s="114"/>
      <c r="Y70" s="6"/>
      <c r="Z70" s="6"/>
      <c r="AA70" s="6"/>
      <c r="AB70" s="6"/>
    </row>
    <row r="71" spans="1:28" ht="15.75" hidden="1" outlineLevel="1" thickBot="1" x14ac:dyDescent="0.3">
      <c r="A71" s="6"/>
      <c r="B71" s="112"/>
      <c r="C71" s="113" t="str">
        <f t="shared" si="8"/>
        <v>מחיר ממוצע צפוי ליוני 2021</v>
      </c>
      <c r="D71" s="119"/>
      <c r="E71" s="113"/>
      <c r="F71" s="56"/>
      <c r="G71" s="113"/>
      <c r="H71" s="113"/>
      <c r="I71" s="113"/>
      <c r="J71" s="113"/>
      <c r="K71" s="113"/>
      <c r="L71" s="113" t="str">
        <f t="shared" si="9"/>
        <v>פחת צפוי בגין השקעות עבר ביוני 2021</v>
      </c>
      <c r="M71" s="113"/>
      <c r="N71" s="113"/>
      <c r="O71" s="219"/>
      <c r="P71" s="113"/>
      <c r="Q71" s="113" t="str">
        <f t="shared" si="10"/>
        <v>השקעה צפויה ברכוש קבוע באפריל 2021</v>
      </c>
      <c r="R71" s="113"/>
      <c r="S71" s="56"/>
      <c r="T71" s="113"/>
      <c r="U71" s="113"/>
      <c r="V71" s="113"/>
      <c r="W71" s="113"/>
      <c r="X71" s="114"/>
      <c r="Y71" s="6"/>
      <c r="Z71" s="6"/>
      <c r="AA71" s="6"/>
      <c r="AB71" s="6"/>
    </row>
    <row r="72" spans="1:28" ht="15.75" hidden="1" outlineLevel="1" thickBot="1" x14ac:dyDescent="0.3">
      <c r="A72" s="6"/>
      <c r="B72" s="112"/>
      <c r="C72" s="113"/>
      <c r="D72" s="119"/>
      <c r="E72" s="113"/>
      <c r="F72" s="113"/>
      <c r="G72" s="113"/>
      <c r="H72" s="113"/>
      <c r="I72" s="113"/>
      <c r="J72" s="113"/>
      <c r="K72" s="113"/>
      <c r="L72" s="113"/>
      <c r="M72" s="113"/>
      <c r="N72" s="113"/>
      <c r="O72" s="113"/>
      <c r="P72" s="113"/>
      <c r="Q72" s="113" t="str">
        <f t="shared" si="10"/>
        <v>השקעה צפויה ברכוש קבוע במאי 2021</v>
      </c>
      <c r="R72" s="113"/>
      <c r="S72" s="56"/>
      <c r="T72" s="113"/>
      <c r="U72" s="113"/>
      <c r="V72" s="113"/>
      <c r="W72" s="113"/>
      <c r="X72" s="114"/>
      <c r="Y72" s="6"/>
      <c r="Z72" s="6"/>
      <c r="AA72" s="6"/>
      <c r="AB72" s="6"/>
    </row>
    <row r="73" spans="1:28" ht="15.75" hidden="1" outlineLevel="1" thickBot="1" x14ac:dyDescent="0.3">
      <c r="A73" s="6"/>
      <c r="B73" s="112"/>
      <c r="C73" s="113" t="s">
        <v>101</v>
      </c>
      <c r="D73" s="119"/>
      <c r="E73" s="113"/>
      <c r="F73" s="56"/>
      <c r="G73" s="113"/>
      <c r="H73" s="113"/>
      <c r="I73" s="113"/>
      <c r="J73" s="113"/>
      <c r="K73" s="113"/>
      <c r="L73" s="113"/>
      <c r="M73" s="113"/>
      <c r="N73" s="113"/>
      <c r="O73" s="113"/>
      <c r="P73" s="113"/>
      <c r="Q73" s="113" t="str">
        <f t="shared" si="10"/>
        <v>השקעה צפויה ברכוש קבוע ביוני 2021</v>
      </c>
      <c r="R73" s="113"/>
      <c r="S73" s="56"/>
      <c r="T73" s="113"/>
      <c r="U73" s="113"/>
      <c r="V73" s="113"/>
      <c r="W73" s="113"/>
      <c r="X73" s="114"/>
      <c r="Y73" s="6"/>
      <c r="Z73" s="6"/>
      <c r="AA73" s="6"/>
      <c r="AB73" s="6"/>
    </row>
    <row r="74" spans="1:28" ht="15.75" hidden="1" outlineLevel="1" thickBot="1" x14ac:dyDescent="0.3">
      <c r="A74" s="6"/>
      <c r="B74" s="112"/>
      <c r="C74" s="113" t="s">
        <v>122</v>
      </c>
      <c r="D74" s="119"/>
      <c r="E74" s="113"/>
      <c r="F74" s="56"/>
      <c r="G74" s="113"/>
      <c r="H74" s="113"/>
      <c r="I74" s="113"/>
      <c r="J74" s="113"/>
      <c r="K74" s="113"/>
      <c r="L74" s="113"/>
      <c r="M74" s="113"/>
      <c r="N74" s="113"/>
      <c r="O74" s="113"/>
      <c r="P74" s="113"/>
      <c r="Q74" s="113"/>
      <c r="R74" s="113"/>
      <c r="S74" s="113"/>
      <c r="T74" s="113"/>
      <c r="U74" s="113"/>
      <c r="V74" s="113"/>
      <c r="W74" s="113"/>
      <c r="X74" s="114"/>
      <c r="Y74" s="6"/>
      <c r="Z74" s="6"/>
      <c r="AA74" s="6"/>
      <c r="AB74" s="6"/>
    </row>
    <row r="75" spans="1:28" ht="15.75" hidden="1" outlineLevel="1" thickBot="1" x14ac:dyDescent="0.3">
      <c r="A75" s="6"/>
      <c r="B75" s="112"/>
      <c r="C75" s="113"/>
      <c r="D75" s="119"/>
      <c r="E75" s="113"/>
      <c r="F75" s="113"/>
      <c r="G75" s="113"/>
      <c r="H75" s="113"/>
      <c r="I75" s="113"/>
      <c r="J75" s="113"/>
      <c r="K75" s="113"/>
      <c r="L75" s="113"/>
      <c r="M75" s="113"/>
      <c r="N75" s="113"/>
      <c r="O75" s="113"/>
      <c r="P75" s="113"/>
      <c r="Q75" s="113" t="s">
        <v>229</v>
      </c>
      <c r="R75" s="113"/>
      <c r="S75" s="60"/>
      <c r="T75" s="113"/>
      <c r="U75" s="113"/>
      <c r="V75" s="113"/>
      <c r="W75" s="113"/>
      <c r="X75" s="114"/>
      <c r="Y75" s="6"/>
      <c r="Z75" s="6"/>
      <c r="AA75" s="6"/>
      <c r="AB75" s="6"/>
    </row>
    <row r="76" spans="1:28" ht="15.75" hidden="1" outlineLevel="1" thickBot="1" x14ac:dyDescent="0.3">
      <c r="A76" s="6"/>
      <c r="B76" s="112"/>
      <c r="C76" s="113"/>
      <c r="D76" s="119"/>
      <c r="E76" s="113"/>
      <c r="F76" s="113"/>
      <c r="G76" s="113"/>
      <c r="H76" s="113"/>
      <c r="I76" s="113"/>
      <c r="J76" s="113"/>
      <c r="K76" s="113"/>
      <c r="L76" s="113"/>
      <c r="M76" s="113"/>
      <c r="N76" s="113"/>
      <c r="O76" s="113"/>
      <c r="P76" s="113"/>
      <c r="Q76" s="113" t="s">
        <v>232</v>
      </c>
      <c r="R76" s="113"/>
      <c r="S76" s="60"/>
      <c r="T76" s="113"/>
      <c r="U76" s="113"/>
      <c r="V76" s="113"/>
      <c r="W76" s="113"/>
      <c r="X76" s="114"/>
      <c r="Y76" s="6"/>
      <c r="Z76" s="6"/>
      <c r="AA76" s="6"/>
      <c r="AB76" s="6"/>
    </row>
    <row r="77" spans="1:28" ht="15.75" hidden="1" outlineLevel="1" thickBot="1" x14ac:dyDescent="0.3">
      <c r="A77" s="6"/>
      <c r="B77" s="112"/>
      <c r="C77" s="165" t="s">
        <v>164</v>
      </c>
      <c r="D77" s="119"/>
      <c r="E77" s="113"/>
      <c r="F77" s="166">
        <f>MAX(F59:F71)*F73*F74</f>
        <v>0</v>
      </c>
      <c r="G77" s="113"/>
      <c r="H77" s="113"/>
      <c r="I77" s="113"/>
      <c r="J77" s="113"/>
      <c r="K77" s="113"/>
      <c r="L77" s="113"/>
      <c r="M77" s="113"/>
      <c r="N77" s="113"/>
      <c r="O77" s="113"/>
      <c r="P77" s="113"/>
      <c r="Q77" s="113" t="s">
        <v>230</v>
      </c>
      <c r="R77" s="113"/>
      <c r="S77" s="60"/>
      <c r="T77" s="113"/>
      <c r="U77" s="113"/>
      <c r="V77" s="113"/>
      <c r="W77" s="113"/>
      <c r="X77" s="114"/>
      <c r="Y77" s="6"/>
      <c r="Z77" s="6"/>
      <c r="AA77" s="6"/>
      <c r="AB77" s="6"/>
    </row>
    <row r="78" spans="1:28" ht="15.75" hidden="1" outlineLevel="1" thickBot="1" x14ac:dyDescent="0.3">
      <c r="A78" s="6"/>
      <c r="B78" s="112"/>
      <c r="C78" s="165" t="s">
        <v>165</v>
      </c>
      <c r="D78" s="119"/>
      <c r="E78" s="113"/>
      <c r="F78" s="166">
        <f>MIN(F59:F71)*F73*F74</f>
        <v>0</v>
      </c>
      <c r="G78" s="113"/>
      <c r="H78" s="113"/>
      <c r="I78" s="113"/>
      <c r="J78" s="113"/>
      <c r="K78" s="113"/>
      <c r="L78" s="113"/>
      <c r="M78" s="113"/>
      <c r="N78" s="113"/>
      <c r="O78" s="113"/>
      <c r="P78" s="113"/>
      <c r="Q78" s="113" t="s">
        <v>231</v>
      </c>
      <c r="R78" s="113"/>
      <c r="S78" s="60"/>
      <c r="T78" s="113"/>
      <c r="U78" s="113"/>
      <c r="V78" s="113"/>
      <c r="W78" s="113"/>
      <c r="X78" s="114"/>
      <c r="Y78" s="6"/>
      <c r="Z78" s="6"/>
      <c r="AA78" s="6"/>
      <c r="AB78" s="6"/>
    </row>
    <row r="79" spans="1:28" hidden="1" outlineLevel="1" x14ac:dyDescent="0.25">
      <c r="A79" s="6"/>
      <c r="B79" s="112"/>
      <c r="C79" s="113"/>
      <c r="D79" s="113"/>
      <c r="E79" s="113"/>
      <c r="F79" s="113"/>
      <c r="G79" s="113"/>
      <c r="H79" s="113"/>
      <c r="I79" s="113"/>
      <c r="J79" s="113"/>
      <c r="K79" s="113"/>
      <c r="L79" s="113"/>
      <c r="M79" s="113"/>
      <c r="N79" s="113"/>
      <c r="O79" s="113"/>
      <c r="P79" s="113"/>
      <c r="Q79" s="113"/>
      <c r="R79" s="113"/>
      <c r="S79" s="113"/>
      <c r="T79" s="113"/>
      <c r="U79" s="113"/>
      <c r="V79" s="113"/>
      <c r="W79" s="113"/>
      <c r="X79" s="114"/>
      <c r="Y79" s="6"/>
      <c r="Z79" s="6"/>
      <c r="AA79" s="6"/>
      <c r="AB79" s="6"/>
    </row>
    <row r="80" spans="1:28" hidden="1" outlineLevel="1" x14ac:dyDescent="0.25">
      <c r="A80" s="6"/>
      <c r="B80" s="112"/>
      <c r="C80" s="113"/>
      <c r="D80" s="113"/>
      <c r="E80" s="113"/>
      <c r="F80" s="113"/>
      <c r="G80" s="113"/>
      <c r="H80" s="113"/>
      <c r="I80" s="113"/>
      <c r="J80" s="113"/>
      <c r="K80" s="113"/>
      <c r="L80" s="113"/>
      <c r="M80" s="113"/>
      <c r="N80" s="113"/>
      <c r="O80" s="113"/>
      <c r="P80" s="113"/>
      <c r="Q80" s="113" t="s">
        <v>233</v>
      </c>
      <c r="R80" s="113"/>
      <c r="S80" s="165" t="str">
        <f>IF(OR(SUM(S75:S78)=100%,SUM(S75:S78)=0),"תקין","לא תקין")</f>
        <v>תקין</v>
      </c>
      <c r="T80" s="113"/>
      <c r="U80" s="113"/>
      <c r="V80" s="113"/>
      <c r="W80" s="113"/>
      <c r="X80" s="114"/>
      <c r="Y80" s="6"/>
      <c r="Z80" s="6"/>
      <c r="AA80" s="6"/>
      <c r="AB80" s="6"/>
    </row>
    <row r="81" spans="1:28" hidden="1" outlineLevel="1" x14ac:dyDescent="0.25">
      <c r="A81" s="6"/>
      <c r="B81" s="112"/>
      <c r="C81" s="113"/>
      <c r="D81" s="113"/>
      <c r="E81" s="113"/>
      <c r="F81" s="113"/>
      <c r="G81" s="113"/>
      <c r="H81" s="113"/>
      <c r="I81" s="113"/>
      <c r="J81" s="113"/>
      <c r="K81" s="113"/>
      <c r="L81" s="113"/>
      <c r="M81" s="113"/>
      <c r="N81" s="113"/>
      <c r="O81" s="113"/>
      <c r="P81" s="113"/>
      <c r="Q81" s="113"/>
      <c r="R81" s="113"/>
      <c r="S81" s="113"/>
      <c r="T81" s="113"/>
      <c r="U81" s="113"/>
      <c r="V81" s="113"/>
      <c r="W81" s="113"/>
      <c r="X81" s="114"/>
      <c r="Y81" s="6"/>
      <c r="Z81" s="6"/>
      <c r="AA81" s="6"/>
      <c r="AB81" s="6"/>
    </row>
    <row r="82" spans="1:28" ht="15.75" collapsed="1" thickBot="1" x14ac:dyDescent="0.3">
      <c r="A82" s="6"/>
      <c r="B82" s="266" t="str">
        <f>"--&gt;"</f>
        <v>--&gt;</v>
      </c>
      <c r="C82" s="265" t="s">
        <v>312</v>
      </c>
      <c r="D82" s="116"/>
      <c r="E82" s="116"/>
      <c r="F82" s="116"/>
      <c r="G82" s="116"/>
      <c r="H82" s="116"/>
      <c r="I82" s="116"/>
      <c r="J82" s="116"/>
      <c r="K82" s="116"/>
      <c r="L82" s="116"/>
      <c r="M82" s="116"/>
      <c r="N82" s="116"/>
      <c r="O82" s="116"/>
      <c r="P82" s="116"/>
      <c r="Q82" s="116"/>
      <c r="R82" s="116"/>
      <c r="S82" s="116"/>
      <c r="T82" s="116"/>
      <c r="U82" s="116"/>
      <c r="V82" s="116"/>
      <c r="W82" s="116"/>
      <c r="X82" s="117"/>
      <c r="Y82" s="6"/>
      <c r="Z82" s="6"/>
      <c r="AA82" s="6"/>
      <c r="AB82" s="6"/>
    </row>
    <row r="83" spans="1:28"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row>
    <row r="84" spans="1:28"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1:28"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1:28" hidden="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row>
    <row r="87" spans="1:28" hidden="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row>
    <row r="88" spans="1:28" hidden="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row>
    <row r="89" spans="1:28" hidden="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row>
    <row r="90" spans="1:28" hidden="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row>
    <row r="91" spans="1:28" hidden="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row>
    <row r="92" spans="1:28" hidden="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row>
    <row r="93" spans="1:28" hidden="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row>
    <row r="94" spans="1:28" hidden="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hidden="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hidden="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hidden="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row>
    <row r="98" spans="1:28" hidden="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row>
    <row r="99" spans="1:28" hidden="1" x14ac:dyDescent="0.25">
      <c r="A99" s="6"/>
      <c r="B99" s="6"/>
      <c r="E99" s="6"/>
      <c r="F99" s="6"/>
      <c r="G99" s="6"/>
      <c r="H99" s="6"/>
      <c r="I99" s="6"/>
      <c r="J99" s="6"/>
      <c r="K99" s="6"/>
      <c r="L99" s="6"/>
      <c r="M99" s="6"/>
      <c r="N99" s="6"/>
      <c r="O99" s="6"/>
      <c r="P99" s="6"/>
      <c r="Q99" s="6"/>
      <c r="R99" s="6"/>
      <c r="S99" s="6"/>
      <c r="T99" s="6"/>
      <c r="U99" s="6"/>
      <c r="V99" s="6"/>
      <c r="W99" s="6"/>
      <c r="X99" s="6"/>
      <c r="Y99" s="6"/>
      <c r="Z99" s="6"/>
      <c r="AA99" s="6"/>
      <c r="AB99" s="6"/>
    </row>
    <row r="100" spans="1:28" hidden="1" x14ac:dyDescent="0.25">
      <c r="B100" s="4"/>
      <c r="E100" s="4"/>
      <c r="F100" s="4"/>
      <c r="G100" s="4"/>
      <c r="H100" s="4"/>
      <c r="I100" s="4"/>
      <c r="J100" s="4"/>
      <c r="K100" s="4"/>
      <c r="L100" s="4"/>
      <c r="M100" s="4"/>
      <c r="N100" s="4"/>
      <c r="O100" s="4"/>
      <c r="P100" s="4"/>
      <c r="Q100" s="4"/>
      <c r="S100" s="4"/>
    </row>
  </sheetData>
  <conditionalFormatting sqref="S80">
    <cfRule type="cellIs" dxfId="0" priority="2" operator="equal">
      <formula>"לא תקין"</formula>
    </cfRule>
  </conditionalFormatting>
  <dataValidations count="3">
    <dataValidation type="list" allowBlank="1" showInputMessage="1" showErrorMessage="1" sqref="Q19:Q28 U19:U28 W19:W28 Q6:Q15 U6:U15 W6:W15">
      <formula1>INDIRECT("כןלא")</formula1>
    </dataValidation>
    <dataValidation type="list" allowBlank="1" showInputMessage="1" showErrorMessage="1" sqref="S19:S28 S6:S15">
      <formula1>INDIRECT("סוגהוצאה")</formula1>
    </dataValidation>
    <dataValidation type="list" allowBlank="1" showInputMessage="1" showErrorMessage="1" sqref="J62 F6">
      <formula1>INDIRECT("חודשים")</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D41"/>
  <sheetViews>
    <sheetView showGridLines="0" rightToLeft="1" zoomScale="85" zoomScaleNormal="85" workbookViewId="0">
      <selection activeCell="A40" sqref="A40:XFD1048576"/>
    </sheetView>
  </sheetViews>
  <sheetFormatPr defaultColWidth="0" defaultRowHeight="15" zeroHeight="1" x14ac:dyDescent="0.25"/>
  <cols>
    <col min="1" max="1" width="1.5703125" style="14" customWidth="1"/>
    <col min="2" max="2" width="1.42578125" style="14" customWidth="1"/>
    <col min="3" max="3" width="22" style="14" customWidth="1"/>
    <col min="4" max="4" width="9.85546875" style="14" customWidth="1"/>
    <col min="5" max="5" width="12.28515625" style="14" bestFit="1" customWidth="1"/>
    <col min="6" max="6" width="11.85546875" style="14" bestFit="1" customWidth="1"/>
    <col min="7" max="8" width="9.140625" style="14" customWidth="1"/>
    <col min="9" max="9" width="11.140625" style="14" customWidth="1"/>
    <col min="10" max="10" width="1.140625" style="14" customWidth="1"/>
    <col min="11" max="18" width="9.140625" style="14" customWidth="1"/>
    <col min="19" max="19" width="13" style="14" customWidth="1"/>
    <col min="20" max="30" width="9.140625" style="14" customWidth="1"/>
    <col min="31" max="16384" width="9.140625" style="14" hidden="1"/>
  </cols>
  <sheetData>
    <row r="1" spans="2:29" ht="6.75" customHeight="1" thickBot="1" x14ac:dyDescent="0.3"/>
    <row r="2" spans="2:29" ht="15.75" thickTop="1" x14ac:dyDescent="0.25">
      <c r="B2" s="77"/>
      <c r="C2" s="78"/>
      <c r="D2" s="78"/>
      <c r="E2" s="78"/>
      <c r="F2" s="78"/>
      <c r="G2" s="78"/>
      <c r="H2" s="78"/>
      <c r="I2" s="78"/>
      <c r="J2" s="78"/>
      <c r="K2" s="78"/>
      <c r="L2" s="78"/>
      <c r="M2" s="78"/>
      <c r="N2" s="78"/>
      <c r="O2" s="78"/>
      <c r="P2" s="78"/>
      <c r="Q2" s="78"/>
      <c r="R2" s="78"/>
      <c r="S2" s="78"/>
      <c r="T2" s="78"/>
      <c r="U2" s="78"/>
      <c r="V2" s="78"/>
      <c r="W2" s="78"/>
      <c r="X2" s="78"/>
      <c r="Y2" s="78"/>
      <c r="Z2" s="78"/>
      <c r="AA2" s="78"/>
      <c r="AB2" s="78"/>
      <c r="AC2" s="79"/>
    </row>
    <row r="3" spans="2:29" ht="15.75" thickBot="1" x14ac:dyDescent="0.3">
      <c r="B3" s="80"/>
      <c r="C3" s="81" t="s">
        <v>77</v>
      </c>
      <c r="D3" s="82"/>
      <c r="E3" s="82"/>
      <c r="F3" s="83"/>
      <c r="G3" s="83"/>
      <c r="H3" s="83"/>
      <c r="I3" s="83"/>
      <c r="J3" s="83"/>
      <c r="K3" s="83"/>
      <c r="L3" s="83"/>
      <c r="M3" s="83"/>
      <c r="N3" s="83"/>
      <c r="O3" s="83"/>
      <c r="P3" s="83"/>
      <c r="Q3" s="83"/>
      <c r="R3" s="83"/>
      <c r="S3" s="83"/>
      <c r="T3" s="83"/>
      <c r="U3" s="83"/>
      <c r="V3" s="83"/>
      <c r="W3" s="83"/>
      <c r="X3" s="83"/>
      <c r="Y3" s="83"/>
      <c r="Z3" s="83"/>
      <c r="AA3" s="83"/>
      <c r="AB3" s="83"/>
      <c r="AC3" s="84"/>
    </row>
    <row r="4" spans="2:29" ht="15.75" thickBot="1" x14ac:dyDescent="0.3">
      <c r="B4" s="80"/>
      <c r="C4" s="83" t="s">
        <v>32</v>
      </c>
      <c r="D4" s="85">
        <v>43983</v>
      </c>
      <c r="E4" s="83"/>
      <c r="F4" s="83"/>
      <c r="G4" s="83"/>
      <c r="H4" s="83"/>
      <c r="I4" s="83"/>
      <c r="J4" s="83"/>
      <c r="K4" s="83"/>
      <c r="L4" s="83"/>
      <c r="M4" s="83"/>
      <c r="N4" s="83"/>
      <c r="O4" s="83"/>
      <c r="P4" s="83"/>
      <c r="Q4" s="83"/>
      <c r="R4" s="83"/>
      <c r="S4" s="83"/>
      <c r="T4" s="83"/>
      <c r="U4" s="83"/>
      <c r="V4" s="83"/>
      <c r="W4" s="83"/>
      <c r="X4" s="83"/>
      <c r="Y4" s="83"/>
      <c r="Z4" s="83"/>
      <c r="AA4" s="83"/>
      <c r="AB4" s="83"/>
      <c r="AC4" s="84"/>
    </row>
    <row r="5" spans="2:29" ht="15.75" thickBot="1" x14ac:dyDescent="0.3">
      <c r="B5" s="80"/>
      <c r="C5" s="83"/>
      <c r="D5" s="83"/>
      <c r="E5" s="83"/>
      <c r="F5" s="83"/>
      <c r="G5" s="83"/>
      <c r="H5" s="83"/>
      <c r="I5" s="83"/>
      <c r="J5" s="83"/>
      <c r="K5" s="83"/>
      <c r="L5" s="83"/>
      <c r="M5" s="83"/>
      <c r="N5" s="83"/>
      <c r="O5" s="83"/>
      <c r="P5" s="83"/>
      <c r="Q5" s="83"/>
      <c r="R5" s="83"/>
      <c r="S5" s="83"/>
      <c r="T5" s="83"/>
      <c r="U5" s="83"/>
      <c r="V5" s="83"/>
      <c r="W5" s="83"/>
      <c r="X5" s="83"/>
      <c r="Y5" s="83"/>
      <c r="Z5" s="83"/>
      <c r="AA5" s="83"/>
      <c r="AB5" s="83"/>
      <c r="AC5" s="84"/>
    </row>
    <row r="6" spans="2:29" ht="15.75" thickBot="1" x14ac:dyDescent="0.3">
      <c r="B6" s="80"/>
      <c r="C6" s="83" t="s">
        <v>33</v>
      </c>
      <c r="D6" s="86"/>
      <c r="E6" s="83" t="s">
        <v>65</v>
      </c>
      <c r="F6" s="83"/>
      <c r="G6" s="83"/>
      <c r="H6" s="83"/>
      <c r="I6" s="83"/>
      <c r="J6" s="83"/>
      <c r="K6" s="83"/>
      <c r="L6" s="83"/>
      <c r="M6" s="83"/>
      <c r="N6" s="83"/>
      <c r="O6" s="83"/>
      <c r="P6" s="83"/>
      <c r="Q6" s="83"/>
      <c r="R6" s="83"/>
      <c r="S6" s="83"/>
      <c r="T6" s="83"/>
      <c r="U6" s="83"/>
      <c r="V6" s="83"/>
      <c r="W6" s="83"/>
      <c r="X6" s="83"/>
      <c r="Y6" s="83"/>
      <c r="Z6" s="83"/>
      <c r="AA6" s="83"/>
      <c r="AB6" s="83"/>
      <c r="AC6" s="84"/>
    </row>
    <row r="7" spans="2:29" ht="15.75" thickBot="1" x14ac:dyDescent="0.3">
      <c r="B7" s="80"/>
      <c r="C7" s="83"/>
      <c r="D7" s="83"/>
      <c r="E7" s="83"/>
      <c r="F7" s="83"/>
      <c r="G7" s="83"/>
      <c r="H7" s="83"/>
      <c r="I7" s="83"/>
      <c r="J7" s="83"/>
      <c r="K7" s="83"/>
      <c r="L7" s="83"/>
      <c r="M7" s="83"/>
      <c r="N7" s="83"/>
      <c r="O7" s="83"/>
      <c r="P7" s="83"/>
      <c r="Q7" s="83"/>
      <c r="R7" s="83"/>
      <c r="S7" s="83"/>
      <c r="T7" s="83"/>
      <c r="U7" s="83"/>
      <c r="V7" s="83"/>
      <c r="W7" s="83"/>
      <c r="X7" s="83"/>
      <c r="Y7" s="83"/>
      <c r="Z7" s="83"/>
      <c r="AA7" s="83"/>
      <c r="AB7" s="83"/>
      <c r="AC7" s="84"/>
    </row>
    <row r="8" spans="2:29" ht="15.75" thickBot="1" x14ac:dyDescent="0.3">
      <c r="B8" s="80"/>
      <c r="C8" s="83" t="s">
        <v>34</v>
      </c>
      <c r="D8" s="87"/>
      <c r="E8" s="83" t="s">
        <v>78</v>
      </c>
      <c r="F8" s="83"/>
      <c r="G8" s="83"/>
      <c r="H8" s="83"/>
      <c r="I8" s="83"/>
      <c r="J8" s="83"/>
      <c r="K8" s="83"/>
      <c r="L8" s="83"/>
      <c r="M8" s="83"/>
      <c r="N8" s="83"/>
      <c r="O8" s="83"/>
      <c r="P8" s="83"/>
      <c r="Q8" s="83"/>
      <c r="R8" s="83"/>
      <c r="S8" s="83"/>
      <c r="T8" s="83"/>
      <c r="U8" s="83"/>
      <c r="V8" s="83"/>
      <c r="W8" s="83"/>
      <c r="X8" s="83"/>
      <c r="Y8" s="83"/>
      <c r="Z8" s="83"/>
      <c r="AA8" s="83"/>
      <c r="AB8" s="83"/>
      <c r="AC8" s="84"/>
    </row>
    <row r="9" spans="2:29" x14ac:dyDescent="0.25">
      <c r="B9" s="80"/>
      <c r="C9" s="83"/>
      <c r="D9" s="83"/>
      <c r="E9" s="83"/>
      <c r="F9" s="83"/>
      <c r="G9" s="83"/>
      <c r="H9" s="83"/>
      <c r="I9" s="83"/>
      <c r="J9" s="83"/>
      <c r="K9" s="83"/>
      <c r="L9" s="83"/>
      <c r="M9" s="83"/>
      <c r="N9" s="83"/>
      <c r="O9" s="83"/>
      <c r="P9" s="83"/>
      <c r="Q9" s="83"/>
      <c r="R9" s="83"/>
      <c r="S9" s="83"/>
      <c r="T9" s="83"/>
      <c r="U9" s="83"/>
      <c r="V9" s="83"/>
      <c r="W9" s="83"/>
      <c r="X9" s="83"/>
      <c r="Y9" s="83"/>
      <c r="Z9" s="83"/>
      <c r="AA9" s="83"/>
      <c r="AB9" s="83"/>
      <c r="AC9" s="84"/>
    </row>
    <row r="10" spans="2:29" x14ac:dyDescent="0.25">
      <c r="B10" s="80"/>
      <c r="C10" s="257" t="s">
        <v>266</v>
      </c>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4"/>
    </row>
    <row r="11" spans="2:29" x14ac:dyDescent="0.25">
      <c r="B11" s="80"/>
      <c r="C11" s="257" t="s">
        <v>313</v>
      </c>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4"/>
    </row>
    <row r="12" spans="2:29" x14ac:dyDescent="0.25">
      <c r="B12" s="80"/>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4"/>
    </row>
    <row r="13" spans="2:29" x14ac:dyDescent="0.25">
      <c r="B13" s="80"/>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4"/>
    </row>
    <row r="14" spans="2:29" x14ac:dyDescent="0.25">
      <c r="B14" s="80"/>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4"/>
    </row>
    <row r="15" spans="2:29" x14ac:dyDescent="0.25">
      <c r="B15" s="80"/>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4"/>
    </row>
    <row r="16" spans="2:29" x14ac:dyDescent="0.25">
      <c r="B16" s="80"/>
      <c r="C16" s="284"/>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4"/>
    </row>
    <row r="17" spans="2:29" x14ac:dyDescent="0.25">
      <c r="B17" s="80"/>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4"/>
    </row>
    <row r="18" spans="2:29" x14ac:dyDescent="0.25">
      <c r="B18" s="80"/>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4"/>
    </row>
    <row r="19" spans="2:29" ht="15.75" thickBot="1" x14ac:dyDescent="0.3">
      <c r="B19" s="80"/>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4"/>
    </row>
    <row r="20" spans="2:29" ht="15.75" thickBot="1" x14ac:dyDescent="0.3">
      <c r="B20" s="80"/>
      <c r="C20" s="88" t="s">
        <v>38</v>
      </c>
      <c r="D20" s="89"/>
      <c r="E20" s="89"/>
      <c r="F20" s="89"/>
      <c r="G20" s="89"/>
      <c r="H20" s="89"/>
      <c r="I20" s="90"/>
      <c r="J20" s="83"/>
      <c r="K20" s="83"/>
      <c r="L20" s="83"/>
      <c r="M20" s="83"/>
      <c r="N20" s="83"/>
      <c r="O20" s="83"/>
      <c r="P20" s="83"/>
      <c r="Q20" s="83"/>
      <c r="R20" s="83"/>
      <c r="S20" s="83"/>
      <c r="T20" s="83"/>
      <c r="U20" s="83"/>
      <c r="V20" s="83"/>
      <c r="W20" s="83"/>
      <c r="X20" s="83"/>
      <c r="Y20" s="83"/>
      <c r="Z20" s="83"/>
      <c r="AA20" s="83"/>
      <c r="AB20" s="83"/>
      <c r="AC20" s="84"/>
    </row>
    <row r="21" spans="2:29" ht="15.75" thickBot="1" x14ac:dyDescent="0.3">
      <c r="B21" s="80"/>
      <c r="C21" s="91" t="s">
        <v>66</v>
      </c>
      <c r="D21" s="92"/>
      <c r="E21" s="92"/>
      <c r="F21" s="93">
        <f>הכנסות!W64</f>
        <v>28350000</v>
      </c>
      <c r="G21" s="92"/>
      <c r="H21" s="92"/>
      <c r="I21" s="94"/>
      <c r="J21" s="83"/>
      <c r="K21" s="83"/>
      <c r="L21" s="83"/>
      <c r="M21" s="83"/>
      <c r="N21" s="83"/>
      <c r="O21" s="83"/>
      <c r="P21" s="83"/>
      <c r="Q21" s="83"/>
      <c r="R21" s="83"/>
      <c r="S21" s="83"/>
      <c r="T21" s="83"/>
      <c r="U21" s="83"/>
      <c r="V21" s="83"/>
      <c r="W21" s="83"/>
      <c r="X21" s="83"/>
      <c r="Y21" s="83"/>
      <c r="Z21" s="83"/>
      <c r="AA21" s="83"/>
      <c r="AB21" s="83"/>
      <c r="AC21" s="84"/>
    </row>
    <row r="22" spans="2:29" ht="15.75" thickBot="1" x14ac:dyDescent="0.3">
      <c r="B22" s="80"/>
      <c r="C22" s="91"/>
      <c r="D22" s="92"/>
      <c r="E22" s="92"/>
      <c r="F22" s="92"/>
      <c r="G22" s="92"/>
      <c r="H22" s="92"/>
      <c r="I22" s="94"/>
      <c r="J22" s="83"/>
      <c r="K22" s="83"/>
      <c r="L22" s="83"/>
      <c r="M22" s="83"/>
      <c r="N22" s="83"/>
      <c r="O22" s="83"/>
      <c r="P22" s="83"/>
      <c r="Q22" s="83"/>
      <c r="R22" s="83"/>
      <c r="S22" s="83"/>
      <c r="T22" s="83"/>
      <c r="U22" s="83"/>
      <c r="V22" s="83"/>
      <c r="W22" s="83"/>
      <c r="X22" s="83"/>
      <c r="Y22" s="83"/>
      <c r="Z22" s="83"/>
      <c r="AA22" s="83"/>
      <c r="AB22" s="83"/>
      <c r="AC22" s="84"/>
    </row>
    <row r="23" spans="2:29" ht="15.75" thickBot="1" x14ac:dyDescent="0.3">
      <c r="B23" s="80"/>
      <c r="C23" s="91" t="s">
        <v>67</v>
      </c>
      <c r="D23" s="92"/>
      <c r="E23" s="92"/>
      <c r="F23" s="93">
        <f>הכנסות!W65</f>
        <v>2180769.230769231</v>
      </c>
      <c r="G23" s="92"/>
      <c r="H23" s="92"/>
      <c r="I23" s="94"/>
      <c r="J23" s="83"/>
      <c r="K23" s="83"/>
      <c r="L23" s="83"/>
      <c r="M23" s="83"/>
      <c r="N23" s="83"/>
      <c r="O23" s="83"/>
      <c r="P23" s="83"/>
      <c r="Q23" s="83"/>
      <c r="R23" s="83"/>
      <c r="S23" s="83"/>
      <c r="T23" s="83"/>
      <c r="U23" s="83"/>
      <c r="V23" s="83"/>
      <c r="W23" s="83"/>
      <c r="X23" s="83"/>
      <c r="Y23" s="83"/>
      <c r="Z23" s="83"/>
      <c r="AA23" s="83"/>
      <c r="AB23" s="83"/>
      <c r="AC23" s="84"/>
    </row>
    <row r="24" spans="2:29" x14ac:dyDescent="0.25">
      <c r="B24" s="80"/>
      <c r="C24" s="91"/>
      <c r="D24" s="92"/>
      <c r="E24" s="92"/>
      <c r="F24" s="92"/>
      <c r="G24" s="92"/>
      <c r="H24" s="92"/>
      <c r="I24" s="94"/>
      <c r="J24" s="83"/>
      <c r="K24" s="83"/>
      <c r="L24" s="83"/>
      <c r="M24" s="83"/>
      <c r="N24" s="83"/>
      <c r="O24" s="83"/>
      <c r="P24" s="83"/>
      <c r="Q24" s="83"/>
      <c r="R24" s="83"/>
      <c r="S24" s="83"/>
      <c r="T24" s="83"/>
      <c r="U24" s="83"/>
      <c r="V24" s="83"/>
      <c r="W24" s="83"/>
      <c r="X24" s="83"/>
      <c r="Y24" s="83"/>
      <c r="Z24" s="83"/>
      <c r="AA24" s="83"/>
      <c r="AB24" s="83"/>
      <c r="AC24" s="84"/>
    </row>
    <row r="25" spans="2:29" ht="15.75" thickBot="1" x14ac:dyDescent="0.3">
      <c r="B25" s="80"/>
      <c r="C25" s="95" t="s">
        <v>41</v>
      </c>
      <c r="D25" s="92"/>
      <c r="E25" s="92"/>
      <c r="F25" s="92"/>
      <c r="G25" s="92"/>
      <c r="H25" s="92"/>
      <c r="I25" s="94"/>
      <c r="J25" s="83"/>
      <c r="K25" s="83"/>
      <c r="L25" s="83"/>
      <c r="M25" s="83"/>
      <c r="N25" s="83"/>
      <c r="O25" s="83"/>
      <c r="P25" s="83"/>
      <c r="Q25" s="83"/>
      <c r="R25" s="83"/>
      <c r="S25" s="83"/>
      <c r="T25" s="83"/>
      <c r="U25" s="83"/>
      <c r="V25" s="83"/>
      <c r="W25" s="83"/>
      <c r="X25" s="83"/>
      <c r="Y25" s="83"/>
      <c r="Z25" s="83"/>
      <c r="AA25" s="83"/>
      <c r="AB25" s="83"/>
      <c r="AC25" s="84"/>
    </row>
    <row r="26" spans="2:29" ht="15.75" thickBot="1" x14ac:dyDescent="0.3">
      <c r="B26" s="80"/>
      <c r="C26" s="91" t="s">
        <v>68</v>
      </c>
      <c r="D26" s="92"/>
      <c r="E26" s="92"/>
      <c r="F26" s="93">
        <f>-הוצאות!W66</f>
        <v>-30906050</v>
      </c>
      <c r="G26" s="92"/>
      <c r="H26" s="92"/>
      <c r="I26" s="94"/>
      <c r="J26" s="83"/>
      <c r="K26" s="83"/>
      <c r="L26" s="83"/>
      <c r="M26" s="83"/>
      <c r="N26" s="83"/>
      <c r="O26" s="83"/>
      <c r="P26" s="83"/>
      <c r="Q26" s="83"/>
      <c r="R26" s="83"/>
      <c r="S26" s="83"/>
      <c r="T26" s="83"/>
      <c r="U26" s="83"/>
      <c r="V26" s="83"/>
      <c r="W26" s="83"/>
      <c r="X26" s="83"/>
      <c r="Y26" s="83"/>
      <c r="Z26" s="83"/>
      <c r="AA26" s="83"/>
      <c r="AB26" s="83"/>
      <c r="AC26" s="84"/>
    </row>
    <row r="27" spans="2:29" ht="15.75" thickBot="1" x14ac:dyDescent="0.3">
      <c r="B27" s="80"/>
      <c r="C27" s="91"/>
      <c r="D27" s="92"/>
      <c r="E27" s="92"/>
      <c r="F27" s="92"/>
      <c r="G27" s="92"/>
      <c r="H27" s="92"/>
      <c r="I27" s="94"/>
      <c r="J27" s="83"/>
      <c r="K27" s="83"/>
      <c r="L27" s="83"/>
      <c r="M27" s="83"/>
      <c r="N27" s="83"/>
      <c r="O27" s="83"/>
      <c r="P27" s="83"/>
      <c r="Q27" s="83"/>
      <c r="R27" s="83"/>
      <c r="S27" s="83"/>
      <c r="T27" s="83"/>
      <c r="U27" s="83"/>
      <c r="V27" s="83"/>
      <c r="W27" s="83"/>
      <c r="X27" s="83"/>
      <c r="Y27" s="83"/>
      <c r="Z27" s="83"/>
      <c r="AA27" s="83"/>
      <c r="AB27" s="83"/>
      <c r="AC27" s="84"/>
    </row>
    <row r="28" spans="2:29" ht="15.75" thickBot="1" x14ac:dyDescent="0.3">
      <c r="B28" s="80"/>
      <c r="C28" s="91" t="s">
        <v>69</v>
      </c>
      <c r="D28" s="92"/>
      <c r="E28" s="92"/>
      <c r="F28" s="93">
        <f>-הוצאות!W67</f>
        <v>-2377388.4615384615</v>
      </c>
      <c r="G28" s="92"/>
      <c r="H28" s="92"/>
      <c r="I28" s="94"/>
      <c r="J28" s="83"/>
      <c r="K28" s="83"/>
      <c r="L28" s="83"/>
      <c r="M28" s="83"/>
      <c r="N28" s="83"/>
      <c r="O28" s="83"/>
      <c r="P28" s="83"/>
      <c r="Q28" s="83"/>
      <c r="R28" s="83"/>
      <c r="S28" s="83"/>
      <c r="T28" s="83"/>
      <c r="U28" s="83"/>
      <c r="V28" s="83"/>
      <c r="W28" s="83"/>
      <c r="X28" s="83"/>
      <c r="Y28" s="83"/>
      <c r="Z28" s="83"/>
      <c r="AA28" s="83"/>
      <c r="AB28" s="83"/>
      <c r="AC28" s="84"/>
    </row>
    <row r="29" spans="2:29" x14ac:dyDescent="0.25">
      <c r="B29" s="80"/>
      <c r="C29" s="91"/>
      <c r="D29" s="92"/>
      <c r="E29" s="92"/>
      <c r="F29" s="92"/>
      <c r="G29" s="92"/>
      <c r="H29" s="92"/>
      <c r="I29" s="94"/>
      <c r="J29" s="83"/>
      <c r="K29" s="83"/>
      <c r="L29" s="83"/>
      <c r="M29" s="83"/>
      <c r="N29" s="83"/>
      <c r="O29" s="83"/>
      <c r="P29" s="83"/>
      <c r="Q29" s="83"/>
      <c r="R29" s="83"/>
      <c r="S29" s="83"/>
      <c r="T29" s="83"/>
      <c r="U29" s="83"/>
      <c r="V29" s="83"/>
      <c r="W29" s="83"/>
      <c r="X29" s="83"/>
      <c r="Y29" s="83"/>
      <c r="Z29" s="83"/>
      <c r="AA29" s="83"/>
      <c r="AB29" s="83"/>
      <c r="AC29" s="84"/>
    </row>
    <row r="30" spans="2:29" ht="15.75" thickBot="1" x14ac:dyDescent="0.3">
      <c r="B30" s="80"/>
      <c r="C30" s="95" t="s">
        <v>70</v>
      </c>
      <c r="D30" s="92"/>
      <c r="E30" s="92"/>
      <c r="F30" s="92"/>
      <c r="G30" s="92"/>
      <c r="H30" s="92"/>
      <c r="I30" s="94"/>
      <c r="J30" s="83"/>
      <c r="K30" s="83"/>
      <c r="L30" s="83"/>
      <c r="M30" s="83"/>
      <c r="N30" s="83"/>
      <c r="O30" s="83"/>
      <c r="P30" s="83"/>
      <c r="Q30" s="83"/>
      <c r="R30" s="83"/>
      <c r="S30" s="83"/>
      <c r="T30" s="83"/>
      <c r="U30" s="83"/>
      <c r="V30" s="83"/>
      <c r="W30" s="83"/>
      <c r="X30" s="83"/>
      <c r="Y30" s="83"/>
      <c r="Z30" s="83"/>
      <c r="AA30" s="83"/>
      <c r="AB30" s="83"/>
      <c r="AC30" s="84"/>
    </row>
    <row r="31" spans="2:29" ht="15.75" thickBot="1" x14ac:dyDescent="0.3">
      <c r="B31" s="80"/>
      <c r="C31" s="91" t="s">
        <v>71</v>
      </c>
      <c r="D31" s="92"/>
      <c r="E31" s="92"/>
      <c r="F31" s="93">
        <f>תזרים!W39</f>
        <v>-1367395</v>
      </c>
      <c r="G31" s="92"/>
      <c r="H31" s="92"/>
      <c r="I31" s="94"/>
      <c r="J31" s="83"/>
      <c r="K31" s="83"/>
      <c r="L31" s="83"/>
      <c r="M31" s="83"/>
      <c r="N31" s="83"/>
      <c r="O31" s="83"/>
      <c r="P31" s="83"/>
      <c r="Q31" s="83"/>
      <c r="R31" s="83"/>
      <c r="S31" s="83"/>
      <c r="T31" s="83"/>
      <c r="U31" s="83"/>
      <c r="V31" s="83"/>
      <c r="W31" s="83"/>
      <c r="X31" s="83"/>
      <c r="Y31" s="83"/>
      <c r="Z31" s="83"/>
      <c r="AA31" s="83"/>
      <c r="AB31" s="83"/>
      <c r="AC31" s="84"/>
    </row>
    <row r="32" spans="2:29" ht="15.75" thickBot="1" x14ac:dyDescent="0.3">
      <c r="B32" s="80"/>
      <c r="C32" s="91"/>
      <c r="D32" s="92"/>
      <c r="E32" s="92"/>
      <c r="F32" s="92"/>
      <c r="G32" s="92"/>
      <c r="H32" s="92"/>
      <c r="I32" s="94"/>
      <c r="J32" s="83"/>
      <c r="K32" s="83"/>
      <c r="L32" s="83"/>
      <c r="M32" s="83"/>
      <c r="N32" s="83"/>
      <c r="O32" s="83"/>
      <c r="P32" s="83"/>
      <c r="Q32" s="83"/>
      <c r="R32" s="83"/>
      <c r="S32" s="83"/>
      <c r="T32" s="83"/>
      <c r="U32" s="83"/>
      <c r="V32" s="83"/>
      <c r="W32" s="83"/>
      <c r="X32" s="83"/>
      <c r="Y32" s="83"/>
      <c r="Z32" s="83"/>
      <c r="AA32" s="83"/>
      <c r="AB32" s="83"/>
      <c r="AC32" s="84"/>
    </row>
    <row r="33" spans="2:29" ht="15.75" thickBot="1" x14ac:dyDescent="0.3">
      <c r="B33" s="80"/>
      <c r="C33" s="91" t="s">
        <v>72</v>
      </c>
      <c r="D33" s="92"/>
      <c r="E33" s="92"/>
      <c r="F33" s="93">
        <f>תזרים!W41</f>
        <v>-105184.23076923077</v>
      </c>
      <c r="G33" s="92"/>
      <c r="H33" s="92"/>
      <c r="I33" s="94"/>
      <c r="J33" s="83"/>
      <c r="K33" s="83"/>
      <c r="L33" s="83"/>
      <c r="M33" s="83"/>
      <c r="N33" s="83"/>
      <c r="O33" s="83"/>
      <c r="P33" s="83"/>
      <c r="Q33" s="83"/>
      <c r="R33" s="83"/>
      <c r="S33" s="83"/>
      <c r="T33" s="83"/>
      <c r="U33" s="83"/>
      <c r="V33" s="83"/>
      <c r="W33" s="83"/>
      <c r="X33" s="83"/>
      <c r="Y33" s="83"/>
      <c r="Z33" s="83"/>
      <c r="AA33" s="83"/>
      <c r="AB33" s="83"/>
      <c r="AC33" s="84"/>
    </row>
    <row r="34" spans="2:29" x14ac:dyDescent="0.25">
      <c r="B34" s="80"/>
      <c r="C34" s="91"/>
      <c r="D34" s="92"/>
      <c r="E34" s="92"/>
      <c r="F34" s="92"/>
      <c r="G34" s="92"/>
      <c r="H34" s="92"/>
      <c r="I34" s="94"/>
      <c r="J34" s="83"/>
      <c r="K34" s="83"/>
      <c r="L34" s="83"/>
      <c r="M34" s="83"/>
      <c r="N34" s="83"/>
      <c r="O34" s="83"/>
      <c r="P34" s="83"/>
      <c r="Q34" s="83"/>
      <c r="R34" s="83"/>
      <c r="S34" s="83"/>
      <c r="T34" s="83"/>
      <c r="U34" s="83"/>
      <c r="V34" s="83"/>
      <c r="W34" s="83"/>
      <c r="X34" s="83"/>
      <c r="Y34" s="83"/>
      <c r="Z34" s="83"/>
      <c r="AA34" s="83"/>
      <c r="AB34" s="83"/>
      <c r="AC34" s="84"/>
    </row>
    <row r="35" spans="2:29" ht="25.5" customHeight="1" thickBot="1" x14ac:dyDescent="0.3">
      <c r="B35" s="80"/>
      <c r="C35" s="96"/>
      <c r="D35" s="97"/>
      <c r="E35" s="97"/>
      <c r="F35" s="97"/>
      <c r="G35" s="97"/>
      <c r="H35" s="97"/>
      <c r="I35" s="98"/>
      <c r="J35" s="83"/>
      <c r="K35" s="83"/>
      <c r="L35" s="83"/>
      <c r="M35" s="83"/>
      <c r="N35" s="83"/>
      <c r="O35" s="83"/>
      <c r="P35" s="83"/>
      <c r="Q35" s="83"/>
      <c r="R35" s="83"/>
      <c r="S35" s="83"/>
      <c r="T35" s="83"/>
      <c r="U35" s="83"/>
      <c r="V35" s="83"/>
      <c r="W35" s="83"/>
      <c r="X35" s="83"/>
      <c r="Y35" s="83"/>
      <c r="Z35" s="83"/>
      <c r="AA35" s="83"/>
      <c r="AB35" s="83"/>
      <c r="AC35" s="84"/>
    </row>
    <row r="36" spans="2:29" ht="18.75" customHeight="1" x14ac:dyDescent="0.25">
      <c r="B36" s="80"/>
      <c r="C36" s="83"/>
      <c r="D36" s="83"/>
      <c r="E36" s="83"/>
      <c r="F36" s="83"/>
      <c r="G36" s="83"/>
      <c r="H36" s="83"/>
      <c r="I36" s="83"/>
      <c r="J36" s="83"/>
      <c r="K36" s="83"/>
      <c r="L36" s="83"/>
      <c r="M36" s="83"/>
      <c r="N36" s="83"/>
      <c r="O36" s="83"/>
      <c r="P36" s="83"/>
      <c r="Q36" s="83"/>
      <c r="R36" s="83"/>
      <c r="S36" s="83"/>
      <c r="T36" s="99" t="s">
        <v>76</v>
      </c>
      <c r="U36" s="83"/>
      <c r="V36" s="83"/>
      <c r="W36" s="83"/>
      <c r="X36" s="83"/>
      <c r="Y36" s="83"/>
      <c r="Z36" s="83"/>
      <c r="AA36" s="83"/>
      <c r="AB36" s="83"/>
      <c r="AC36" s="84"/>
    </row>
    <row r="37" spans="2:29" ht="10.5" customHeight="1" thickBot="1" x14ac:dyDescent="0.3">
      <c r="B37" s="10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2"/>
    </row>
    <row r="38" spans="2:29" ht="15.75" thickTop="1" x14ac:dyDescent="0.25"/>
    <row r="39" spans="2:29" x14ac:dyDescent="0.25">
      <c r="B39" s="4"/>
      <c r="C39" s="4"/>
      <c r="D39" s="4"/>
      <c r="E39" s="4"/>
      <c r="F39" s="4"/>
      <c r="G39" s="4"/>
      <c r="H39" s="4"/>
      <c r="I39" s="4"/>
      <c r="J39" s="4"/>
      <c r="K39" s="4"/>
      <c r="L39" s="4"/>
      <c r="M39" s="4"/>
      <c r="N39" s="4"/>
      <c r="O39" s="4"/>
      <c r="P39" s="4"/>
      <c r="Q39" s="4"/>
    </row>
    <row r="40" spans="2:29" hidden="1" x14ac:dyDescent="0.25">
      <c r="B40" s="4"/>
      <c r="C40" s="4"/>
      <c r="D40" s="4"/>
      <c r="E40" s="4"/>
      <c r="F40" s="4"/>
      <c r="G40" s="4"/>
      <c r="H40" s="4"/>
      <c r="I40" s="4"/>
      <c r="J40" s="4"/>
      <c r="K40" s="4"/>
      <c r="L40" s="4"/>
      <c r="M40" s="4"/>
      <c r="N40" s="4"/>
      <c r="O40" s="4"/>
      <c r="P40" s="4"/>
      <c r="Q40" s="4"/>
    </row>
    <row r="41" spans="2:29" hidden="1" x14ac:dyDescent="0.25">
      <c r="B41" s="4"/>
      <c r="C41" s="4"/>
      <c r="D41" s="4"/>
      <c r="E41" s="4"/>
      <c r="F41" s="4"/>
      <c r="G41" s="4"/>
      <c r="H41" s="4"/>
      <c r="I41" s="4"/>
      <c r="J41" s="4"/>
      <c r="K41" s="4"/>
      <c r="L41" s="4"/>
      <c r="M41" s="4"/>
      <c r="N41" s="4"/>
      <c r="O41" s="4"/>
      <c r="P41" s="4"/>
      <c r="Q41" s="4"/>
    </row>
  </sheetData>
  <dataValidations count="1">
    <dataValidation type="list" allowBlank="1" showInputMessage="1" showErrorMessage="1" sqref="D4">
      <formula1>INDIRECT("חודשים")</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C64"/>
  <sheetViews>
    <sheetView showGridLines="0" rightToLeft="1" zoomScale="85" zoomScaleNormal="85" workbookViewId="0">
      <selection activeCell="N64" sqref="N64"/>
    </sheetView>
  </sheetViews>
  <sheetFormatPr defaultColWidth="0" defaultRowHeight="15" zeroHeight="1" outlineLevelRow="1" x14ac:dyDescent="0.25"/>
  <cols>
    <col min="1" max="2" width="2.140625" customWidth="1"/>
    <col min="3" max="3" width="14.85546875" customWidth="1"/>
    <col min="4" max="4" width="15.85546875" customWidth="1"/>
    <col min="5" max="9" width="14.85546875" hidden="1" customWidth="1"/>
    <col min="10" max="10" width="14.85546875" customWidth="1"/>
    <col min="11" max="17" width="11.28515625" bestFit="1" customWidth="1"/>
    <col min="18" max="18" width="14.140625" bestFit="1" customWidth="1"/>
    <col min="19" max="22" width="11.28515625" bestFit="1" customWidth="1"/>
    <col min="23" max="23" width="12.28515625" bestFit="1" customWidth="1"/>
    <col min="24" max="27" width="9.140625" customWidth="1"/>
    <col min="28" max="28" width="18.42578125" customWidth="1"/>
    <col min="29" max="29" width="9.140625" customWidth="1"/>
    <col min="30" max="16384" width="9.140625" hidden="1"/>
  </cols>
  <sheetData>
    <row r="1" spans="2:28" ht="15.75" thickBot="1" x14ac:dyDescent="0.3"/>
    <row r="2" spans="2:28" s="7" customFormat="1" ht="15.75" x14ac:dyDescent="0.25">
      <c r="C2" s="22" t="s">
        <v>139</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20" t="s">
        <v>23</v>
      </c>
      <c r="Y2" s="22" t="s">
        <v>157</v>
      </c>
      <c r="Z2" s="34"/>
      <c r="AA2" s="34"/>
      <c r="AB2" s="156"/>
    </row>
    <row r="3" spans="2:28" ht="15.75" thickBot="1" x14ac:dyDescent="0.3">
      <c r="B3" s="7"/>
      <c r="C3" s="10"/>
      <c r="D3" s="1"/>
      <c r="E3" s="1"/>
      <c r="F3" s="1"/>
      <c r="G3" s="1"/>
      <c r="H3" s="1"/>
      <c r="I3" s="1"/>
      <c r="J3" s="1"/>
      <c r="K3" s="1"/>
      <c r="L3" s="1"/>
      <c r="M3" s="1"/>
      <c r="N3" s="1"/>
      <c r="O3" s="1"/>
      <c r="P3" s="1"/>
      <c r="Q3" s="1"/>
      <c r="R3" s="1"/>
      <c r="S3" s="1"/>
      <c r="T3" s="1"/>
      <c r="U3" s="1"/>
      <c r="V3" s="1"/>
      <c r="W3" s="155"/>
      <c r="Y3" s="10"/>
      <c r="Z3" s="1"/>
      <c r="AA3" s="1"/>
      <c r="AB3" s="25"/>
    </row>
    <row r="4" spans="2:28" s="7" customFormat="1" ht="15.75" thickBot="1" x14ac:dyDescent="0.3">
      <c r="C4" s="10" t="s">
        <v>140</v>
      </c>
      <c r="D4" s="1"/>
      <c r="E4" s="258">
        <f>Dashboard!D4</f>
        <v>43983</v>
      </c>
      <c r="F4" s="1"/>
      <c r="G4" s="1"/>
      <c r="H4" s="1"/>
      <c r="I4" s="1"/>
      <c r="J4" s="151" t="str">
        <f t="shared" ref="J4:V4" si="1">IF(J2&gt;=$E$4,"YES","NO")</f>
        <v>YES</v>
      </c>
      <c r="K4" s="151" t="str">
        <f t="shared" si="1"/>
        <v>YES</v>
      </c>
      <c r="L4" s="151" t="str">
        <f t="shared" si="1"/>
        <v>YES</v>
      </c>
      <c r="M4" s="151" t="str">
        <f t="shared" si="1"/>
        <v>YES</v>
      </c>
      <c r="N4" s="151" t="str">
        <f t="shared" si="1"/>
        <v>YES</v>
      </c>
      <c r="O4" s="151" t="str">
        <f t="shared" si="1"/>
        <v>YES</v>
      </c>
      <c r="P4" s="151" t="str">
        <f t="shared" si="1"/>
        <v>YES</v>
      </c>
      <c r="Q4" s="151" t="str">
        <f t="shared" si="1"/>
        <v>YES</v>
      </c>
      <c r="R4" s="151" t="str">
        <f t="shared" si="1"/>
        <v>YES</v>
      </c>
      <c r="S4" s="151" t="str">
        <f t="shared" si="1"/>
        <v>YES</v>
      </c>
      <c r="T4" s="151" t="str">
        <f t="shared" si="1"/>
        <v>YES</v>
      </c>
      <c r="U4" s="151" t="str">
        <f t="shared" si="1"/>
        <v>YES</v>
      </c>
      <c r="V4" s="151" t="str">
        <f t="shared" si="1"/>
        <v>YES</v>
      </c>
      <c r="W4" s="155"/>
      <c r="Y4" s="10" t="s">
        <v>158</v>
      </c>
      <c r="Z4" s="1"/>
      <c r="AA4" s="1"/>
      <c r="AB4" s="85">
        <v>44044</v>
      </c>
    </row>
    <row r="5" spans="2:28" s="7" customFormat="1" ht="15" customHeight="1" thickBot="1" x14ac:dyDescent="0.3">
      <c r="C5" s="10"/>
      <c r="D5" s="1"/>
      <c r="E5" s="1"/>
      <c r="F5" s="1"/>
      <c r="G5" s="70"/>
      <c r="H5" s="1"/>
      <c r="I5" s="1"/>
      <c r="J5" s="151"/>
      <c r="K5" s="151"/>
      <c r="L5" s="151"/>
      <c r="M5" s="151"/>
      <c r="N5" s="151"/>
      <c r="O5" s="151"/>
      <c r="P5" s="151"/>
      <c r="Q5" s="151"/>
      <c r="R5" s="151"/>
      <c r="S5" s="151"/>
      <c r="T5" s="151"/>
      <c r="U5" s="151"/>
      <c r="V5" s="151"/>
      <c r="W5" s="155"/>
      <c r="Y5" s="10" t="s">
        <v>160</v>
      </c>
      <c r="Z5" s="1"/>
      <c r="AA5" s="1"/>
      <c r="AB5" s="85">
        <v>44166</v>
      </c>
    </row>
    <row r="6" spans="2:28" ht="10.5" hidden="1" customHeight="1" x14ac:dyDescent="0.25">
      <c r="B6" s="7"/>
      <c r="C6" s="10" t="s">
        <v>159</v>
      </c>
      <c r="D6" s="1"/>
      <c r="E6" s="1"/>
      <c r="F6" s="1"/>
      <c r="G6" s="1"/>
      <c r="H6" s="1"/>
      <c r="I6" s="1"/>
      <c r="J6" s="154">
        <f>IF(AND(J2&gt;=$AB$4,J2&lt;=$AB$5),1,0)</f>
        <v>0</v>
      </c>
      <c r="K6" s="154">
        <f t="shared" ref="K6:V6" si="2">IF(AND(K2&gt;=$AB$4,K2&lt;=$AB$5),1,0)</f>
        <v>0</v>
      </c>
      <c r="L6" s="154">
        <f t="shared" si="2"/>
        <v>1</v>
      </c>
      <c r="M6" s="154">
        <f t="shared" si="2"/>
        <v>1</v>
      </c>
      <c r="N6" s="154">
        <f t="shared" si="2"/>
        <v>1</v>
      </c>
      <c r="O6" s="154">
        <f t="shared" si="2"/>
        <v>1</v>
      </c>
      <c r="P6" s="154">
        <f t="shared" si="2"/>
        <v>1</v>
      </c>
      <c r="Q6" s="154">
        <f t="shared" si="2"/>
        <v>0</v>
      </c>
      <c r="R6" s="154">
        <f t="shared" si="2"/>
        <v>0</v>
      </c>
      <c r="S6" s="154">
        <f t="shared" si="2"/>
        <v>0</v>
      </c>
      <c r="T6" s="154">
        <f t="shared" si="2"/>
        <v>0</v>
      </c>
      <c r="U6" s="154">
        <f t="shared" si="2"/>
        <v>0</v>
      </c>
      <c r="V6" s="154">
        <f t="shared" si="2"/>
        <v>0</v>
      </c>
      <c r="W6" s="155"/>
      <c r="Y6" s="10"/>
      <c r="Z6" s="1"/>
      <c r="AA6" s="1"/>
      <c r="AB6" s="25"/>
    </row>
    <row r="7" spans="2:28" x14ac:dyDescent="0.25">
      <c r="B7" s="7"/>
      <c r="C7" s="10" t="s">
        <v>2</v>
      </c>
      <c r="D7" s="1"/>
      <c r="E7" s="1"/>
      <c r="F7" s="1"/>
      <c r="G7" s="1"/>
      <c r="H7" s="1"/>
      <c r="I7" s="1"/>
      <c r="J7" s="159">
        <f>הכנסות!J64</f>
        <v>1750000</v>
      </c>
      <c r="K7" s="159">
        <f>הכנסות!K64</f>
        <v>1750000</v>
      </c>
      <c r="L7" s="159">
        <f>הכנסות!L64</f>
        <v>1750000</v>
      </c>
      <c r="M7" s="159">
        <f>הכנסות!M64</f>
        <v>1750000</v>
      </c>
      <c r="N7" s="159">
        <f>הכנסות!N64</f>
        <v>1750000</v>
      </c>
      <c r="O7" s="159">
        <f>הכנסות!O64</f>
        <v>1750000</v>
      </c>
      <c r="P7" s="159">
        <f>הכנסות!P64</f>
        <v>2100000</v>
      </c>
      <c r="Q7" s="159">
        <f>הכנסות!Q64</f>
        <v>2450000</v>
      </c>
      <c r="R7" s="159">
        <f>הכנסות!R64</f>
        <v>1400000</v>
      </c>
      <c r="S7" s="159">
        <f>הכנסות!S64</f>
        <v>2450000</v>
      </c>
      <c r="T7" s="159">
        <f>הכנסות!T64</f>
        <v>2800000</v>
      </c>
      <c r="U7" s="159">
        <f>הכנסות!U64</f>
        <v>3150000</v>
      </c>
      <c r="V7" s="159">
        <f>הכנסות!V64</f>
        <v>3500000</v>
      </c>
      <c r="W7" s="160">
        <f>SUM(J7:V7)</f>
        <v>28350000</v>
      </c>
      <c r="Y7" s="10" t="s">
        <v>2</v>
      </c>
      <c r="Z7" s="1"/>
      <c r="AA7" s="1"/>
      <c r="AB7" s="157">
        <f>SUMIFS(J7:V7,$J$6:$V$6,1)</f>
        <v>9100000</v>
      </c>
    </row>
    <row r="8" spans="2:28" ht="6" customHeight="1" x14ac:dyDescent="0.25">
      <c r="B8" s="7"/>
      <c r="C8" s="10"/>
      <c r="D8" s="1"/>
      <c r="E8" s="1"/>
      <c r="F8" s="1"/>
      <c r="G8" s="1"/>
      <c r="H8" s="1"/>
      <c r="I8" s="1"/>
      <c r="J8" s="159"/>
      <c r="K8" s="159"/>
      <c r="L8" s="159"/>
      <c r="M8" s="159"/>
      <c r="N8" s="159"/>
      <c r="O8" s="159"/>
      <c r="P8" s="159"/>
      <c r="Q8" s="159"/>
      <c r="R8" s="159"/>
      <c r="S8" s="159"/>
      <c r="T8" s="159"/>
      <c r="U8" s="159"/>
      <c r="V8" s="159"/>
      <c r="W8" s="160"/>
      <c r="Y8" s="10"/>
      <c r="Z8" s="1"/>
      <c r="AA8" s="1"/>
      <c r="AB8" s="157"/>
    </row>
    <row r="9" spans="2:28" s="7" customFormat="1" ht="15.75" hidden="1" outlineLevel="1" thickBot="1" x14ac:dyDescent="0.3">
      <c r="C9" s="10" t="s">
        <v>108</v>
      </c>
      <c r="D9" s="1"/>
      <c r="E9" s="1"/>
      <c r="F9" s="1"/>
      <c r="G9" s="1"/>
      <c r="H9" s="1"/>
      <c r="I9" s="1"/>
      <c r="J9" s="159">
        <f>-SUM(הוצאות!J73,הוצאות!J82)</f>
        <v>-1464500</v>
      </c>
      <c r="K9" s="159">
        <f>-SUM(הוצאות!K73,הוצאות!K82)</f>
        <v>-1464500</v>
      </c>
      <c r="L9" s="159">
        <f>-SUM(הוצאות!L73,הוצאות!L82)</f>
        <v>-1464500</v>
      </c>
      <c r="M9" s="159">
        <f>-SUM(הוצאות!M73,הוצאות!M82)</f>
        <v>-1464500</v>
      </c>
      <c r="N9" s="159">
        <f>-SUM(הוצאות!N73,הוצאות!N82)</f>
        <v>-1464500</v>
      </c>
      <c r="O9" s="159">
        <f>-SUM(הוצאות!O73,הוצאות!O82)</f>
        <v>-1464500</v>
      </c>
      <c r="P9" s="159">
        <f>-SUM(הוצאות!P73,הוצאות!P82)</f>
        <v>-1649300</v>
      </c>
      <c r="Q9" s="159">
        <f>-SUM(הוצאות!Q73,הוצאות!Q82)</f>
        <v>-1834100</v>
      </c>
      <c r="R9" s="159">
        <f>-SUM(הוצאות!R73,הוצאות!R82)</f>
        <v>-1279700</v>
      </c>
      <c r="S9" s="159">
        <f>-SUM(הוצאות!S73,הוצאות!S82)</f>
        <v>-1834100</v>
      </c>
      <c r="T9" s="159">
        <f>-SUM(הוצאות!T73,הוצאות!T82)</f>
        <v>-2018900</v>
      </c>
      <c r="U9" s="159">
        <f>-SUM(הוצאות!U73,הוצאות!U82)</f>
        <v>-2203700</v>
      </c>
      <c r="V9" s="159">
        <f>-SUM(הוצאות!V73,הוצאות!V82)</f>
        <v>-2388500</v>
      </c>
      <c r="W9" s="160"/>
      <c r="Y9" s="10"/>
      <c r="Z9" s="1"/>
      <c r="AA9" s="1"/>
      <c r="AB9" s="157"/>
    </row>
    <row r="10" spans="2:28" s="7" customFormat="1" ht="15.75" hidden="1" outlineLevel="1" thickBot="1" x14ac:dyDescent="0.3">
      <c r="C10" s="10" t="s">
        <v>287</v>
      </c>
      <c r="D10" s="1"/>
      <c r="E10" s="152">
        <f>Dashboard!D8</f>
        <v>0</v>
      </c>
      <c r="F10" s="1"/>
      <c r="G10" s="1"/>
      <c r="H10" s="1"/>
      <c r="I10" s="1"/>
      <c r="J10" s="159">
        <f>IF(J4="YES",$E$10,0)</f>
        <v>0</v>
      </c>
      <c r="K10" s="159">
        <f t="shared" ref="K10:V10" si="3">IF(K4="YES",$E$10,0)</f>
        <v>0</v>
      </c>
      <c r="L10" s="159">
        <f t="shared" si="3"/>
        <v>0</v>
      </c>
      <c r="M10" s="159">
        <f t="shared" si="3"/>
        <v>0</v>
      </c>
      <c r="N10" s="159">
        <f t="shared" si="3"/>
        <v>0</v>
      </c>
      <c r="O10" s="159">
        <f t="shared" si="3"/>
        <v>0</v>
      </c>
      <c r="P10" s="159">
        <f t="shared" si="3"/>
        <v>0</v>
      </c>
      <c r="Q10" s="159">
        <f t="shared" si="3"/>
        <v>0</v>
      </c>
      <c r="R10" s="159">
        <f t="shared" si="3"/>
        <v>0</v>
      </c>
      <c r="S10" s="159">
        <f t="shared" si="3"/>
        <v>0</v>
      </c>
      <c r="T10" s="159">
        <f t="shared" si="3"/>
        <v>0</v>
      </c>
      <c r="U10" s="159">
        <f t="shared" si="3"/>
        <v>0</v>
      </c>
      <c r="V10" s="159">
        <f t="shared" si="3"/>
        <v>0</v>
      </c>
      <c r="W10" s="160"/>
      <c r="Y10" s="10"/>
      <c r="Z10" s="1"/>
      <c r="AA10" s="1"/>
      <c r="AB10" s="157"/>
    </row>
    <row r="11" spans="2:28" s="7" customFormat="1" ht="6" hidden="1" customHeight="1" outlineLevel="1" x14ac:dyDescent="0.25">
      <c r="C11" s="10"/>
      <c r="D11" s="1"/>
      <c r="E11" s="1"/>
      <c r="F11" s="1"/>
      <c r="G11" s="1"/>
      <c r="H11" s="1"/>
      <c r="I11" s="1"/>
      <c r="J11" s="159"/>
      <c r="K11" s="159"/>
      <c r="L11" s="159"/>
      <c r="M11" s="159"/>
      <c r="N11" s="159"/>
      <c r="O11" s="159"/>
      <c r="P11" s="159"/>
      <c r="Q11" s="159"/>
      <c r="R11" s="159"/>
      <c r="S11" s="159"/>
      <c r="T11" s="159"/>
      <c r="U11" s="159"/>
      <c r="V11" s="159"/>
      <c r="W11" s="160"/>
      <c r="Y11" s="10"/>
      <c r="Z11" s="1"/>
      <c r="AA11" s="1"/>
      <c r="AB11" s="157"/>
    </row>
    <row r="12" spans="2:28" collapsed="1" x14ac:dyDescent="0.25">
      <c r="B12" s="7"/>
      <c r="C12" s="10" t="s">
        <v>108</v>
      </c>
      <c r="D12" s="1"/>
      <c r="E12" s="1"/>
      <c r="F12" s="1"/>
      <c r="G12" s="1"/>
      <c r="H12" s="1"/>
      <c r="I12" s="1"/>
      <c r="J12" s="159">
        <f>SUM(J9,J10)</f>
        <v>-1464500</v>
      </c>
      <c r="K12" s="159">
        <f t="shared" ref="K12:V12" si="4">SUM(K9,K10)</f>
        <v>-1464500</v>
      </c>
      <c r="L12" s="159">
        <f t="shared" si="4"/>
        <v>-1464500</v>
      </c>
      <c r="M12" s="159">
        <f t="shared" si="4"/>
        <v>-1464500</v>
      </c>
      <c r="N12" s="159">
        <f t="shared" si="4"/>
        <v>-1464500</v>
      </c>
      <c r="O12" s="159">
        <f t="shared" si="4"/>
        <v>-1464500</v>
      </c>
      <c r="P12" s="159">
        <f t="shared" si="4"/>
        <v>-1649300</v>
      </c>
      <c r="Q12" s="159">
        <f t="shared" si="4"/>
        <v>-1834100</v>
      </c>
      <c r="R12" s="159">
        <f t="shared" si="4"/>
        <v>-1279700</v>
      </c>
      <c r="S12" s="159">
        <f t="shared" si="4"/>
        <v>-1834100</v>
      </c>
      <c r="T12" s="159">
        <f t="shared" si="4"/>
        <v>-2018900</v>
      </c>
      <c r="U12" s="159">
        <f t="shared" si="4"/>
        <v>-2203700</v>
      </c>
      <c r="V12" s="159">
        <f t="shared" si="4"/>
        <v>-2388500</v>
      </c>
      <c r="W12" s="160">
        <f t="shared" ref="W12:W42" si="5">SUM(J12:V12)</f>
        <v>-21995300</v>
      </c>
      <c r="Y12" s="10" t="s">
        <v>108</v>
      </c>
      <c r="Z12" s="1"/>
      <c r="AA12" s="1"/>
      <c r="AB12" s="157">
        <f t="shared" ref="AB12:AB32" si="6">SUMIFS(J12:V12,$J$6:$V$6,1)</f>
        <v>-7507300</v>
      </c>
    </row>
    <row r="13" spans="2:28" ht="6" customHeight="1" x14ac:dyDescent="0.25">
      <c r="B13" s="7"/>
      <c r="C13" s="10"/>
      <c r="D13" s="1"/>
      <c r="E13" s="1"/>
      <c r="F13" s="1"/>
      <c r="G13" s="1"/>
      <c r="H13" s="1"/>
      <c r="I13" s="1"/>
      <c r="J13" s="159"/>
      <c r="K13" s="159"/>
      <c r="L13" s="159"/>
      <c r="M13" s="159"/>
      <c r="N13" s="159"/>
      <c r="O13" s="159"/>
      <c r="P13" s="159"/>
      <c r="Q13" s="159"/>
      <c r="R13" s="159"/>
      <c r="S13" s="159"/>
      <c r="T13" s="159"/>
      <c r="U13" s="159"/>
      <c r="V13" s="159"/>
      <c r="W13" s="160"/>
      <c r="Y13" s="10"/>
      <c r="Z13" s="1"/>
      <c r="AA13" s="1"/>
      <c r="AB13" s="157"/>
    </row>
    <row r="14" spans="2:28" x14ac:dyDescent="0.25">
      <c r="B14" s="7"/>
      <c r="C14" s="10" t="s">
        <v>146</v>
      </c>
      <c r="D14" s="1"/>
      <c r="E14" s="1"/>
      <c r="F14" s="1"/>
      <c r="G14" s="1"/>
      <c r="H14" s="1"/>
      <c r="I14" s="1"/>
      <c r="J14" s="161">
        <f>SUM(J7,J12)</f>
        <v>285500</v>
      </c>
      <c r="K14" s="161">
        <f t="shared" ref="K14:V14" si="7">SUM(K7,K12)</f>
        <v>285500</v>
      </c>
      <c r="L14" s="161">
        <f t="shared" si="7"/>
        <v>285500</v>
      </c>
      <c r="M14" s="161">
        <f t="shared" si="7"/>
        <v>285500</v>
      </c>
      <c r="N14" s="161">
        <f t="shared" si="7"/>
        <v>285500</v>
      </c>
      <c r="O14" s="161">
        <f t="shared" si="7"/>
        <v>285500</v>
      </c>
      <c r="P14" s="161">
        <f t="shared" si="7"/>
        <v>450700</v>
      </c>
      <c r="Q14" s="161">
        <f t="shared" si="7"/>
        <v>615900</v>
      </c>
      <c r="R14" s="161">
        <f t="shared" si="7"/>
        <v>120300</v>
      </c>
      <c r="S14" s="161">
        <f t="shared" si="7"/>
        <v>615900</v>
      </c>
      <c r="T14" s="161">
        <f t="shared" si="7"/>
        <v>781100</v>
      </c>
      <c r="U14" s="161">
        <f t="shared" si="7"/>
        <v>946300</v>
      </c>
      <c r="V14" s="161">
        <f t="shared" si="7"/>
        <v>1111500</v>
      </c>
      <c r="W14" s="162">
        <f t="shared" si="5"/>
        <v>6354700</v>
      </c>
      <c r="Y14" s="10" t="s">
        <v>146</v>
      </c>
      <c r="Z14" s="1"/>
      <c r="AA14" s="1"/>
      <c r="AB14" s="158">
        <f t="shared" si="6"/>
        <v>1592700</v>
      </c>
    </row>
    <row r="15" spans="2:28" x14ac:dyDescent="0.25">
      <c r="C15" s="275" t="s">
        <v>314</v>
      </c>
      <c r="D15" s="1"/>
      <c r="E15" s="1"/>
      <c r="F15" s="1"/>
      <c r="G15" s="1"/>
      <c r="H15" s="1"/>
      <c r="I15" s="1"/>
      <c r="J15" s="269">
        <f>IFERROR(J14/J7,0)</f>
        <v>0.16314285714285715</v>
      </c>
      <c r="K15" s="269">
        <f t="shared" ref="K15:W15" si="8">IFERROR(K14/K7,0)</f>
        <v>0.16314285714285715</v>
      </c>
      <c r="L15" s="269">
        <f t="shared" si="8"/>
        <v>0.16314285714285715</v>
      </c>
      <c r="M15" s="269">
        <f t="shared" si="8"/>
        <v>0.16314285714285715</v>
      </c>
      <c r="N15" s="269">
        <f t="shared" si="8"/>
        <v>0.16314285714285715</v>
      </c>
      <c r="O15" s="269">
        <f t="shared" si="8"/>
        <v>0.16314285714285715</v>
      </c>
      <c r="P15" s="269">
        <f t="shared" si="8"/>
        <v>0.21461904761904763</v>
      </c>
      <c r="Q15" s="269">
        <f t="shared" si="8"/>
        <v>0.25138775510204081</v>
      </c>
      <c r="R15" s="269">
        <f t="shared" si="8"/>
        <v>8.5928571428571424E-2</v>
      </c>
      <c r="S15" s="269">
        <f t="shared" si="8"/>
        <v>0.25138775510204081</v>
      </c>
      <c r="T15" s="269">
        <f t="shared" si="8"/>
        <v>0.27896428571428572</v>
      </c>
      <c r="U15" s="269">
        <f t="shared" si="8"/>
        <v>0.30041269841269841</v>
      </c>
      <c r="V15" s="269">
        <f t="shared" si="8"/>
        <v>0.31757142857142856</v>
      </c>
      <c r="W15" s="270">
        <f t="shared" si="8"/>
        <v>0.22415167548500881</v>
      </c>
      <c r="Y15" s="275" t="s">
        <v>314</v>
      </c>
      <c r="Z15" s="1"/>
      <c r="AA15" s="1"/>
      <c r="AB15" s="273">
        <f>IFERROR(AB14/AB7,0)</f>
        <v>0.17502197802197803</v>
      </c>
    </row>
    <row r="16" spans="2:28" x14ac:dyDescent="0.25">
      <c r="C16" s="10" t="s">
        <v>141</v>
      </c>
      <c r="D16" s="1"/>
      <c r="E16" s="1"/>
      <c r="F16" s="1"/>
      <c r="G16" s="1"/>
      <c r="H16" s="1"/>
      <c r="I16" s="1"/>
      <c r="J16" s="159">
        <f>-SUM(הוצאות!J74,הוצאות!J85)</f>
        <v>-450000</v>
      </c>
      <c r="K16" s="159">
        <f>-SUM(הוצאות!K74,הוצאות!K85)</f>
        <v>-450000</v>
      </c>
      <c r="L16" s="159">
        <f>-SUM(הוצאות!L74,הוצאות!L85)</f>
        <v>-450000</v>
      </c>
      <c r="M16" s="159">
        <f>-SUM(הוצאות!M74,הוצאות!M85)</f>
        <v>-450000</v>
      </c>
      <c r="N16" s="159">
        <f>-SUM(הוצאות!N74,הוצאות!N85)</f>
        <v>-450000</v>
      </c>
      <c r="O16" s="159">
        <f>-SUM(הוצאות!O74,הוצאות!O85)</f>
        <v>-450000</v>
      </c>
      <c r="P16" s="159">
        <f>-SUM(הוצאות!P74,הוצאות!P85)</f>
        <v>-450000</v>
      </c>
      <c r="Q16" s="159">
        <f>-SUM(הוצאות!Q74,הוצאות!Q85)</f>
        <v>-450000</v>
      </c>
      <c r="R16" s="159">
        <f>-SUM(הוצאות!R74,הוצאות!R85)</f>
        <v>-450000</v>
      </c>
      <c r="S16" s="159">
        <f>-SUM(הוצאות!S74,הוצאות!S85)</f>
        <v>-450000</v>
      </c>
      <c r="T16" s="159">
        <f>-SUM(הוצאות!T74,הוצאות!T85)</f>
        <v>-450000</v>
      </c>
      <c r="U16" s="159">
        <f>-SUM(הוצאות!U74,הוצאות!U85)</f>
        <v>-450000</v>
      </c>
      <c r="V16" s="159">
        <f>-SUM(הוצאות!V74,הוצאות!V85)</f>
        <v>-450000</v>
      </c>
      <c r="W16" s="160">
        <f t="shared" si="5"/>
        <v>-5850000</v>
      </c>
      <c r="Y16" s="10" t="s">
        <v>141</v>
      </c>
      <c r="Z16" s="1"/>
      <c r="AA16" s="1"/>
      <c r="AB16" s="157">
        <f t="shared" si="6"/>
        <v>-2250000</v>
      </c>
    </row>
    <row r="17" spans="3:28" ht="6.75" customHeight="1" x14ac:dyDescent="0.25">
      <c r="C17" s="10"/>
      <c r="D17" s="1"/>
      <c r="E17" s="1"/>
      <c r="F17" s="1"/>
      <c r="G17" s="1"/>
      <c r="H17" s="1"/>
      <c r="I17" s="1"/>
      <c r="J17" s="159"/>
      <c r="K17" s="159"/>
      <c r="L17" s="159"/>
      <c r="M17" s="159"/>
      <c r="N17" s="159"/>
      <c r="O17" s="159"/>
      <c r="P17" s="159"/>
      <c r="Q17" s="159"/>
      <c r="R17" s="159"/>
      <c r="S17" s="159"/>
      <c r="T17" s="159"/>
      <c r="U17" s="159"/>
      <c r="V17" s="159"/>
      <c r="W17" s="160"/>
      <c r="Y17" s="10"/>
      <c r="Z17" s="1"/>
      <c r="AA17" s="1"/>
      <c r="AB17" s="157"/>
    </row>
    <row r="18" spans="3:28" x14ac:dyDescent="0.25">
      <c r="C18" s="10" t="s">
        <v>142</v>
      </c>
      <c r="D18" s="1"/>
      <c r="E18" s="1"/>
      <c r="F18" s="1"/>
      <c r="G18" s="1"/>
      <c r="H18" s="1"/>
      <c r="I18" s="1"/>
      <c r="J18" s="159">
        <f>-SUM(הוצאות!J75,הוצאות!J88)</f>
        <v>-43750</v>
      </c>
      <c r="K18" s="159">
        <f>-SUM(הוצאות!K75,הוצאות!K88)</f>
        <v>-43750</v>
      </c>
      <c r="L18" s="159">
        <f>-SUM(הוצאות!L75,הוצאות!L88)</f>
        <v>-43750</v>
      </c>
      <c r="M18" s="159">
        <f>-SUM(הוצאות!M75,הוצאות!M88)</f>
        <v>-43750</v>
      </c>
      <c r="N18" s="159">
        <f>-SUM(הוצאות!N75,הוצאות!N88)</f>
        <v>-43750</v>
      </c>
      <c r="O18" s="159">
        <f>-SUM(הוצאות!O75,הוצאות!O88)</f>
        <v>-43750</v>
      </c>
      <c r="P18" s="159">
        <f>-SUM(הוצאות!P75,הוצאות!P88)</f>
        <v>-49000</v>
      </c>
      <c r="Q18" s="159">
        <f>-SUM(הוצאות!Q75,הוצאות!Q88)</f>
        <v>-54250</v>
      </c>
      <c r="R18" s="159">
        <f>-SUM(הוצאות!R75,הוצאות!R88)</f>
        <v>-38500</v>
      </c>
      <c r="S18" s="159">
        <f>-SUM(הוצאות!S75,הוצאות!S88)</f>
        <v>-54250</v>
      </c>
      <c r="T18" s="159">
        <f>-SUM(הוצאות!T75,הוצאות!T88)</f>
        <v>-59500</v>
      </c>
      <c r="U18" s="159">
        <f>-SUM(הוצאות!U75,הוצאות!U88)</f>
        <v>-64750</v>
      </c>
      <c r="V18" s="159">
        <f>-SUM(הוצאות!V75,הוצאות!V88)</f>
        <v>-70000</v>
      </c>
      <c r="W18" s="160">
        <f t="shared" si="5"/>
        <v>-652750</v>
      </c>
      <c r="Y18" s="10" t="s">
        <v>142</v>
      </c>
      <c r="Z18" s="1"/>
      <c r="AA18" s="1"/>
      <c r="AB18" s="157">
        <f t="shared" si="6"/>
        <v>-224000</v>
      </c>
    </row>
    <row r="19" spans="3:28" ht="5.25" customHeight="1" x14ac:dyDescent="0.25">
      <c r="C19" s="10"/>
      <c r="D19" s="1"/>
      <c r="E19" s="1"/>
      <c r="F19" s="1"/>
      <c r="G19" s="1"/>
      <c r="H19" s="1"/>
      <c r="I19" s="1"/>
      <c r="J19" s="159"/>
      <c r="K19" s="159"/>
      <c r="L19" s="159"/>
      <c r="M19" s="159"/>
      <c r="N19" s="159"/>
      <c r="O19" s="159"/>
      <c r="P19" s="159"/>
      <c r="Q19" s="159"/>
      <c r="R19" s="159"/>
      <c r="S19" s="159"/>
      <c r="T19" s="159"/>
      <c r="U19" s="159"/>
      <c r="V19" s="159"/>
      <c r="W19" s="160"/>
      <c r="Y19" s="10"/>
      <c r="Z19" s="1"/>
      <c r="AA19" s="1"/>
      <c r="AB19" s="157"/>
    </row>
    <row r="20" spans="3:28" x14ac:dyDescent="0.25">
      <c r="C20" s="10" t="s">
        <v>147</v>
      </c>
      <c r="D20" s="1"/>
      <c r="E20" s="1"/>
      <c r="F20" s="1"/>
      <c r="G20" s="1"/>
      <c r="H20" s="1"/>
      <c r="I20" s="1"/>
      <c r="J20" s="161">
        <f>SUM(J14,J16,J18)</f>
        <v>-208250</v>
      </c>
      <c r="K20" s="161">
        <f t="shared" ref="K20:V20" si="9">SUM(K14,K16,K18)</f>
        <v>-208250</v>
      </c>
      <c r="L20" s="161">
        <f t="shared" si="9"/>
        <v>-208250</v>
      </c>
      <c r="M20" s="161">
        <f t="shared" si="9"/>
        <v>-208250</v>
      </c>
      <c r="N20" s="161">
        <f t="shared" si="9"/>
        <v>-208250</v>
      </c>
      <c r="O20" s="161">
        <f t="shared" si="9"/>
        <v>-208250</v>
      </c>
      <c r="P20" s="161">
        <f t="shared" si="9"/>
        <v>-48300</v>
      </c>
      <c r="Q20" s="161">
        <f t="shared" si="9"/>
        <v>111650</v>
      </c>
      <c r="R20" s="161">
        <f t="shared" si="9"/>
        <v>-368200</v>
      </c>
      <c r="S20" s="161">
        <f t="shared" si="9"/>
        <v>111650</v>
      </c>
      <c r="T20" s="161">
        <f t="shared" si="9"/>
        <v>271600</v>
      </c>
      <c r="U20" s="161">
        <f t="shared" si="9"/>
        <v>431550</v>
      </c>
      <c r="V20" s="161">
        <f t="shared" si="9"/>
        <v>591500</v>
      </c>
      <c r="W20" s="162">
        <f t="shared" si="5"/>
        <v>-148050</v>
      </c>
      <c r="Y20" s="10" t="s">
        <v>147</v>
      </c>
      <c r="Z20" s="1"/>
      <c r="AA20" s="1"/>
      <c r="AB20" s="158">
        <f t="shared" si="6"/>
        <v>-881300</v>
      </c>
    </row>
    <row r="21" spans="3:28" x14ac:dyDescent="0.25">
      <c r="C21" s="275" t="s">
        <v>314</v>
      </c>
      <c r="D21" s="1"/>
      <c r="E21" s="1"/>
      <c r="F21" s="1"/>
      <c r="G21" s="1"/>
      <c r="H21" s="1"/>
      <c r="I21" s="1"/>
      <c r="J21" s="269">
        <f>IFERROR(J20/J7,0)</f>
        <v>-0.11899999999999999</v>
      </c>
      <c r="K21" s="269">
        <f t="shared" ref="K21:W21" si="10">IFERROR(K20/K7,0)</f>
        <v>-0.11899999999999999</v>
      </c>
      <c r="L21" s="269">
        <f t="shared" si="10"/>
        <v>-0.11899999999999999</v>
      </c>
      <c r="M21" s="269">
        <f t="shared" si="10"/>
        <v>-0.11899999999999999</v>
      </c>
      <c r="N21" s="269">
        <f t="shared" si="10"/>
        <v>-0.11899999999999999</v>
      </c>
      <c r="O21" s="269">
        <f t="shared" si="10"/>
        <v>-0.11899999999999999</v>
      </c>
      <c r="P21" s="269">
        <f t="shared" si="10"/>
        <v>-2.3E-2</v>
      </c>
      <c r="Q21" s="269">
        <f t="shared" si="10"/>
        <v>4.5571428571428568E-2</v>
      </c>
      <c r="R21" s="269">
        <f t="shared" si="10"/>
        <v>-0.26300000000000001</v>
      </c>
      <c r="S21" s="269">
        <f t="shared" si="10"/>
        <v>4.5571428571428568E-2</v>
      </c>
      <c r="T21" s="269">
        <f t="shared" si="10"/>
        <v>9.7000000000000003E-2</v>
      </c>
      <c r="U21" s="269">
        <f t="shared" si="10"/>
        <v>0.13700000000000001</v>
      </c>
      <c r="V21" s="269">
        <f t="shared" si="10"/>
        <v>0.16900000000000001</v>
      </c>
      <c r="W21" s="270">
        <f t="shared" si="10"/>
        <v>-5.2222222222222218E-3</v>
      </c>
      <c r="Y21" s="275" t="s">
        <v>314</v>
      </c>
      <c r="Z21" s="1"/>
      <c r="AA21" s="1"/>
      <c r="AB21" s="273">
        <f>IFERROR(AB20/AB7,0)</f>
        <v>-9.6846153846153846E-2</v>
      </c>
    </row>
    <row r="22" spans="3:28" s="7" customFormat="1" x14ac:dyDescent="0.25">
      <c r="C22" s="10" t="s">
        <v>143</v>
      </c>
      <c r="D22" s="1"/>
      <c r="E22" s="1"/>
      <c r="F22" s="1"/>
      <c r="G22" s="1"/>
      <c r="H22" s="1"/>
      <c r="I22" s="1"/>
      <c r="J22" s="159">
        <f>הוצאות!J93</f>
        <v>210000</v>
      </c>
      <c r="K22" s="159">
        <f>הוצאות!K93</f>
        <v>210000</v>
      </c>
      <c r="L22" s="159">
        <f>הוצאות!L93</f>
        <v>210000</v>
      </c>
      <c r="M22" s="159">
        <f>הוצאות!M93</f>
        <v>210000</v>
      </c>
      <c r="N22" s="159">
        <f>הוצאות!N93</f>
        <v>210000</v>
      </c>
      <c r="O22" s="159">
        <f>הוצאות!O93</f>
        <v>210000</v>
      </c>
      <c r="P22" s="159">
        <f>הוצאות!P93</f>
        <v>210000</v>
      </c>
      <c r="Q22" s="159">
        <f>הוצאות!Q93</f>
        <v>210000</v>
      </c>
      <c r="R22" s="159">
        <f>הוצאות!R93</f>
        <v>210000</v>
      </c>
      <c r="S22" s="159">
        <f>הוצאות!S93</f>
        <v>210000</v>
      </c>
      <c r="T22" s="159">
        <f>הוצאות!T93</f>
        <v>210000</v>
      </c>
      <c r="U22" s="159">
        <f>הוצאות!U93</f>
        <v>210000</v>
      </c>
      <c r="V22" s="159">
        <f>הוצאות!V93</f>
        <v>210000</v>
      </c>
      <c r="W22" s="160">
        <f t="shared" si="5"/>
        <v>2730000</v>
      </c>
      <c r="Y22" s="10" t="s">
        <v>143</v>
      </c>
      <c r="Z22" s="1"/>
      <c r="AA22" s="1"/>
      <c r="AB22" s="157">
        <f t="shared" si="6"/>
        <v>1050000</v>
      </c>
    </row>
    <row r="23" spans="3:28" s="7" customFormat="1" x14ac:dyDescent="0.25">
      <c r="C23" s="10"/>
      <c r="D23" s="1"/>
      <c r="E23" s="1"/>
      <c r="F23" s="1"/>
      <c r="G23" s="1"/>
      <c r="H23" s="1"/>
      <c r="I23" s="1"/>
      <c r="J23" s="159"/>
      <c r="K23" s="159"/>
      <c r="L23" s="159"/>
      <c r="M23" s="159"/>
      <c r="N23" s="159"/>
      <c r="O23" s="159"/>
      <c r="P23" s="159"/>
      <c r="Q23" s="159"/>
      <c r="R23" s="159"/>
      <c r="S23" s="159"/>
      <c r="T23" s="159"/>
      <c r="U23" s="159"/>
      <c r="V23" s="159"/>
      <c r="W23" s="160"/>
      <c r="Y23" s="10"/>
      <c r="Z23" s="1"/>
      <c r="AA23" s="1"/>
      <c r="AB23" s="157"/>
    </row>
    <row r="24" spans="3:28" s="7" customFormat="1" x14ac:dyDescent="0.25">
      <c r="C24" s="249" t="s">
        <v>144</v>
      </c>
      <c r="D24" s="1"/>
      <c r="E24" s="1"/>
      <c r="F24" s="1"/>
      <c r="G24" s="1"/>
      <c r="H24" s="1"/>
      <c r="I24" s="1"/>
      <c r="J24" s="159">
        <f>SUM(J20,J22)</f>
        <v>1750</v>
      </c>
      <c r="K24" s="159">
        <f t="shared" ref="K24:V24" si="11">SUM(K20,K22)</f>
        <v>1750</v>
      </c>
      <c r="L24" s="159">
        <f t="shared" si="11"/>
        <v>1750</v>
      </c>
      <c r="M24" s="159">
        <f t="shared" si="11"/>
        <v>1750</v>
      </c>
      <c r="N24" s="159">
        <f t="shared" si="11"/>
        <v>1750</v>
      </c>
      <c r="O24" s="159">
        <f t="shared" si="11"/>
        <v>1750</v>
      </c>
      <c r="P24" s="159">
        <f t="shared" si="11"/>
        <v>161700</v>
      </c>
      <c r="Q24" s="159">
        <f t="shared" si="11"/>
        <v>321650</v>
      </c>
      <c r="R24" s="159">
        <f t="shared" si="11"/>
        <v>-158200</v>
      </c>
      <c r="S24" s="159">
        <f t="shared" si="11"/>
        <v>321650</v>
      </c>
      <c r="T24" s="159">
        <f t="shared" si="11"/>
        <v>481600</v>
      </c>
      <c r="U24" s="159">
        <f t="shared" si="11"/>
        <v>641550</v>
      </c>
      <c r="V24" s="159">
        <f t="shared" si="11"/>
        <v>801500</v>
      </c>
      <c r="W24" s="160">
        <f t="shared" si="5"/>
        <v>2581950</v>
      </c>
      <c r="Y24" s="10" t="s">
        <v>144</v>
      </c>
      <c r="Z24" s="1"/>
      <c r="AA24" s="1"/>
      <c r="AB24" s="157">
        <f t="shared" si="6"/>
        <v>168700</v>
      </c>
    </row>
    <row r="25" spans="3:28" s="7" customFormat="1" x14ac:dyDescent="0.25">
      <c r="C25" s="275" t="s">
        <v>314</v>
      </c>
      <c r="D25" s="1"/>
      <c r="E25" s="1"/>
      <c r="F25" s="1"/>
      <c r="G25" s="1"/>
      <c r="H25" s="1"/>
      <c r="I25" s="1"/>
      <c r="J25" s="269">
        <f>IFERROR(J24/J7,0)</f>
        <v>1E-3</v>
      </c>
      <c r="K25" s="269">
        <f t="shared" ref="K25:W25" si="12">IFERROR(K24/K7,0)</f>
        <v>1E-3</v>
      </c>
      <c r="L25" s="269">
        <f t="shared" si="12"/>
        <v>1E-3</v>
      </c>
      <c r="M25" s="269">
        <f t="shared" si="12"/>
        <v>1E-3</v>
      </c>
      <c r="N25" s="269">
        <f t="shared" si="12"/>
        <v>1E-3</v>
      </c>
      <c r="O25" s="269">
        <f t="shared" si="12"/>
        <v>1E-3</v>
      </c>
      <c r="P25" s="269">
        <f t="shared" si="12"/>
        <v>7.6999999999999999E-2</v>
      </c>
      <c r="Q25" s="269">
        <f t="shared" si="12"/>
        <v>0.13128571428571428</v>
      </c>
      <c r="R25" s="269">
        <f t="shared" si="12"/>
        <v>-0.113</v>
      </c>
      <c r="S25" s="269">
        <f t="shared" si="12"/>
        <v>0.13128571428571428</v>
      </c>
      <c r="T25" s="269">
        <f t="shared" si="12"/>
        <v>0.17199999999999999</v>
      </c>
      <c r="U25" s="269">
        <f t="shared" si="12"/>
        <v>0.20366666666666666</v>
      </c>
      <c r="V25" s="269">
        <f t="shared" si="12"/>
        <v>0.22900000000000001</v>
      </c>
      <c r="W25" s="270">
        <f t="shared" si="12"/>
        <v>9.1074074074074071E-2</v>
      </c>
      <c r="Y25" s="275" t="s">
        <v>314</v>
      </c>
      <c r="Z25" s="1"/>
      <c r="AA25" s="1"/>
      <c r="AB25" s="273">
        <f>IFERROR(AB24/AB7,0)</f>
        <v>1.8538461538461538E-2</v>
      </c>
    </row>
    <row r="26" spans="3:28" x14ac:dyDescent="0.25">
      <c r="C26" s="10" t="s">
        <v>111</v>
      </c>
      <c r="D26" s="1"/>
      <c r="E26" s="1"/>
      <c r="F26" s="1"/>
      <c r="G26" s="1"/>
      <c r="H26" s="1"/>
      <c r="I26" s="1"/>
      <c r="J26" s="159">
        <f>-SUM(הוצאות!J76,הוצאות!J91)</f>
        <v>-70000</v>
      </c>
      <c r="K26" s="159">
        <f>-SUM(הוצאות!K76,הוצאות!K91)</f>
        <v>-70000</v>
      </c>
      <c r="L26" s="159">
        <f>-SUM(הוצאות!L76,הוצאות!L91)</f>
        <v>-70000</v>
      </c>
      <c r="M26" s="159">
        <f>-SUM(הוצאות!M76,הוצאות!M91)</f>
        <v>-70000</v>
      </c>
      <c r="N26" s="159">
        <f>-SUM(הוצאות!N76,הוצאות!N91)</f>
        <v>-70000</v>
      </c>
      <c r="O26" s="159">
        <f>-SUM(הוצאות!O76,הוצאות!O91)</f>
        <v>-70000</v>
      </c>
      <c r="P26" s="159">
        <f>-SUM(הוצאות!P76,הוצאות!P91)</f>
        <v>-84000</v>
      </c>
      <c r="Q26" s="159">
        <f>-SUM(הוצאות!Q76,הוצאות!Q91)</f>
        <v>-98000</v>
      </c>
      <c r="R26" s="159">
        <f>-SUM(הוצאות!R76,הוצאות!R91)</f>
        <v>-56000</v>
      </c>
      <c r="S26" s="159">
        <f>-SUM(הוצאות!S76,הוצאות!S91)</f>
        <v>-98000</v>
      </c>
      <c r="T26" s="159">
        <f>-SUM(הוצאות!T76,הוצאות!T91)</f>
        <v>-112000</v>
      </c>
      <c r="U26" s="159">
        <f>-SUM(הוצאות!U76,הוצאות!U91)</f>
        <v>-126000</v>
      </c>
      <c r="V26" s="159">
        <f>-SUM(הוצאות!V76,הוצאות!V91)</f>
        <v>-140000</v>
      </c>
      <c r="W26" s="160">
        <f t="shared" si="5"/>
        <v>-1134000</v>
      </c>
      <c r="Y26" s="10" t="s">
        <v>111</v>
      </c>
      <c r="Z26" s="1"/>
      <c r="AA26" s="1"/>
      <c r="AB26" s="157">
        <f t="shared" si="6"/>
        <v>-364000</v>
      </c>
    </row>
    <row r="27" spans="3:28" ht="5.25" customHeight="1" x14ac:dyDescent="0.25">
      <c r="C27" s="10"/>
      <c r="D27" s="1"/>
      <c r="E27" s="1"/>
      <c r="F27" s="1"/>
      <c r="G27" s="1"/>
      <c r="H27" s="1"/>
      <c r="I27" s="1"/>
      <c r="J27" s="159"/>
      <c r="K27" s="159"/>
      <c r="L27" s="159"/>
      <c r="M27" s="159"/>
      <c r="N27" s="159"/>
      <c r="O27" s="159"/>
      <c r="P27" s="159"/>
      <c r="Q27" s="159"/>
      <c r="R27" s="159"/>
      <c r="S27" s="159"/>
      <c r="T27" s="159"/>
      <c r="U27" s="159"/>
      <c r="V27" s="159"/>
      <c r="W27" s="160"/>
      <c r="Y27" s="10"/>
      <c r="Z27" s="1"/>
      <c r="AA27" s="1"/>
      <c r="AB27" s="157"/>
    </row>
    <row r="28" spans="3:28" x14ac:dyDescent="0.25">
      <c r="C28" s="10" t="s">
        <v>148</v>
      </c>
      <c r="D28" s="1"/>
      <c r="E28" s="1"/>
      <c r="F28" s="1"/>
      <c r="G28" s="1"/>
      <c r="H28" s="1"/>
      <c r="I28" s="1"/>
      <c r="J28" s="161">
        <f>SUM(J20,J26)</f>
        <v>-278250</v>
      </c>
      <c r="K28" s="161">
        <f t="shared" ref="K28:V28" si="13">SUM(K20,K26)</f>
        <v>-278250</v>
      </c>
      <c r="L28" s="161">
        <f t="shared" si="13"/>
        <v>-278250</v>
      </c>
      <c r="M28" s="161">
        <f t="shared" si="13"/>
        <v>-278250</v>
      </c>
      <c r="N28" s="161">
        <f t="shared" si="13"/>
        <v>-278250</v>
      </c>
      <c r="O28" s="161">
        <f t="shared" si="13"/>
        <v>-278250</v>
      </c>
      <c r="P28" s="161">
        <f t="shared" si="13"/>
        <v>-132300</v>
      </c>
      <c r="Q28" s="161">
        <f t="shared" si="13"/>
        <v>13650</v>
      </c>
      <c r="R28" s="161">
        <f t="shared" si="13"/>
        <v>-424200</v>
      </c>
      <c r="S28" s="161">
        <f t="shared" si="13"/>
        <v>13650</v>
      </c>
      <c r="T28" s="161">
        <f t="shared" si="13"/>
        <v>159600</v>
      </c>
      <c r="U28" s="161">
        <f t="shared" si="13"/>
        <v>305550</v>
      </c>
      <c r="V28" s="161">
        <f t="shared" si="13"/>
        <v>451500</v>
      </c>
      <c r="W28" s="162">
        <f t="shared" si="5"/>
        <v>-1282050</v>
      </c>
      <c r="Y28" s="10" t="s">
        <v>148</v>
      </c>
      <c r="Z28" s="1"/>
      <c r="AA28" s="1"/>
      <c r="AB28" s="158">
        <f t="shared" si="6"/>
        <v>-1245300</v>
      </c>
    </row>
    <row r="29" spans="3:28" x14ac:dyDescent="0.25">
      <c r="C29" s="275" t="s">
        <v>314</v>
      </c>
      <c r="D29" s="1"/>
      <c r="E29" s="1"/>
      <c r="F29" s="1"/>
      <c r="G29" s="1"/>
      <c r="H29" s="1"/>
      <c r="I29" s="1"/>
      <c r="J29" s="269">
        <f>IFERROR(J28/J7,0)</f>
        <v>-0.159</v>
      </c>
      <c r="K29" s="269">
        <f t="shared" ref="K29:W29" si="14">IFERROR(K28/K7,0)</f>
        <v>-0.159</v>
      </c>
      <c r="L29" s="269">
        <f t="shared" si="14"/>
        <v>-0.159</v>
      </c>
      <c r="M29" s="269">
        <f t="shared" si="14"/>
        <v>-0.159</v>
      </c>
      <c r="N29" s="269">
        <f t="shared" si="14"/>
        <v>-0.159</v>
      </c>
      <c r="O29" s="269">
        <f t="shared" si="14"/>
        <v>-0.159</v>
      </c>
      <c r="P29" s="269">
        <f t="shared" si="14"/>
        <v>-6.3E-2</v>
      </c>
      <c r="Q29" s="269">
        <f t="shared" si="14"/>
        <v>5.5714285714285718E-3</v>
      </c>
      <c r="R29" s="269">
        <f t="shared" si="14"/>
        <v>-0.30299999999999999</v>
      </c>
      <c r="S29" s="269">
        <f t="shared" si="14"/>
        <v>5.5714285714285718E-3</v>
      </c>
      <c r="T29" s="269">
        <f t="shared" si="14"/>
        <v>5.7000000000000002E-2</v>
      </c>
      <c r="U29" s="269">
        <f t="shared" si="14"/>
        <v>9.7000000000000003E-2</v>
      </c>
      <c r="V29" s="269">
        <f t="shared" si="14"/>
        <v>0.129</v>
      </c>
      <c r="W29" s="270">
        <f t="shared" si="14"/>
        <v>-4.5222222222222219E-2</v>
      </c>
      <c r="Y29" s="275" t="s">
        <v>314</v>
      </c>
      <c r="Z29" s="1"/>
      <c r="AA29" s="1"/>
      <c r="AB29" s="273">
        <f>IFERROR(AB28/AB7,0)</f>
        <v>-0.13684615384615384</v>
      </c>
    </row>
    <row r="30" spans="3:28" x14ac:dyDescent="0.25">
      <c r="C30" s="10" t="s">
        <v>145</v>
      </c>
      <c r="D30" s="1"/>
      <c r="E30" s="1"/>
      <c r="F30" s="1"/>
      <c r="G30" s="1"/>
      <c r="H30" s="1"/>
      <c r="I30" s="1"/>
      <c r="J30" s="159">
        <f>-הוצאות!J79</f>
        <v>-80000</v>
      </c>
      <c r="K30" s="159">
        <f>-הוצאות!K79</f>
        <v>-78000</v>
      </c>
      <c r="L30" s="159">
        <f>-הוצאות!L79</f>
        <v>-76000</v>
      </c>
      <c r="M30" s="159">
        <f>-הוצאות!M79</f>
        <v>-74000</v>
      </c>
      <c r="N30" s="159">
        <f>-הוצאות!N79</f>
        <v>-72000</v>
      </c>
      <c r="O30" s="159">
        <f>-הוצאות!O79</f>
        <v>-70000</v>
      </c>
      <c r="P30" s="159">
        <f>-הוצאות!P79</f>
        <v>-68000</v>
      </c>
      <c r="Q30" s="159">
        <f>-הוצאות!Q79</f>
        <v>-66000</v>
      </c>
      <c r="R30" s="159">
        <f>-הוצאות!R79</f>
        <v>-64000</v>
      </c>
      <c r="S30" s="159">
        <f>-הוצאות!S79</f>
        <v>-62000</v>
      </c>
      <c r="T30" s="159">
        <f>-הוצאות!T79</f>
        <v>-60000</v>
      </c>
      <c r="U30" s="159">
        <f>-הוצאות!U79</f>
        <v>-58000</v>
      </c>
      <c r="V30" s="159">
        <f>-הוצאות!V79</f>
        <v>-56000</v>
      </c>
      <c r="W30" s="160">
        <f t="shared" si="5"/>
        <v>-884000</v>
      </c>
      <c r="Y30" s="10" t="s">
        <v>145</v>
      </c>
      <c r="Z30" s="1"/>
      <c r="AA30" s="1"/>
      <c r="AB30" s="157">
        <f t="shared" si="6"/>
        <v>-360000</v>
      </c>
    </row>
    <row r="31" spans="3:28" ht="3.75" customHeight="1" x14ac:dyDescent="0.25">
      <c r="C31" s="10"/>
      <c r="D31" s="1"/>
      <c r="E31" s="1"/>
      <c r="F31" s="1"/>
      <c r="G31" s="1"/>
      <c r="H31" s="1"/>
      <c r="I31" s="1"/>
      <c r="J31" s="159"/>
      <c r="K31" s="159"/>
      <c r="L31" s="159"/>
      <c r="M31" s="159"/>
      <c r="N31" s="159"/>
      <c r="O31" s="159"/>
      <c r="P31" s="159"/>
      <c r="Q31" s="159"/>
      <c r="R31" s="159"/>
      <c r="S31" s="159"/>
      <c r="T31" s="159"/>
      <c r="U31" s="159"/>
      <c r="V31" s="159"/>
      <c r="W31" s="160"/>
      <c r="Y31" s="10"/>
      <c r="Z31" s="1"/>
      <c r="AA31" s="1"/>
      <c r="AB31" s="157"/>
    </row>
    <row r="32" spans="3:28" x14ac:dyDescent="0.25">
      <c r="C32" s="10" t="s">
        <v>149</v>
      </c>
      <c r="D32" s="1"/>
      <c r="E32" s="1"/>
      <c r="F32" s="1"/>
      <c r="G32" s="1"/>
      <c r="H32" s="1"/>
      <c r="I32" s="1"/>
      <c r="J32" s="161">
        <f>SUM(J28,J30)</f>
        <v>-358250</v>
      </c>
      <c r="K32" s="161">
        <f t="shared" ref="K32:V32" si="15">SUM(K28,K30)</f>
        <v>-356250</v>
      </c>
      <c r="L32" s="161">
        <f t="shared" si="15"/>
        <v>-354250</v>
      </c>
      <c r="M32" s="161">
        <f t="shared" si="15"/>
        <v>-352250</v>
      </c>
      <c r="N32" s="161">
        <f t="shared" si="15"/>
        <v>-350250</v>
      </c>
      <c r="O32" s="161">
        <f t="shared" si="15"/>
        <v>-348250</v>
      </c>
      <c r="P32" s="161">
        <f t="shared" si="15"/>
        <v>-200300</v>
      </c>
      <c r="Q32" s="161">
        <f t="shared" si="15"/>
        <v>-52350</v>
      </c>
      <c r="R32" s="161">
        <f t="shared" si="15"/>
        <v>-488200</v>
      </c>
      <c r="S32" s="161">
        <f t="shared" si="15"/>
        <v>-48350</v>
      </c>
      <c r="T32" s="161">
        <f t="shared" si="15"/>
        <v>99600</v>
      </c>
      <c r="U32" s="161">
        <f t="shared" si="15"/>
        <v>247550</v>
      </c>
      <c r="V32" s="161">
        <f t="shared" si="15"/>
        <v>395500</v>
      </c>
      <c r="W32" s="162">
        <f t="shared" si="5"/>
        <v>-2166050</v>
      </c>
      <c r="Y32" s="10" t="s">
        <v>149</v>
      </c>
      <c r="Z32" s="1"/>
      <c r="AA32" s="1"/>
      <c r="AB32" s="158">
        <f t="shared" si="6"/>
        <v>-1605300</v>
      </c>
    </row>
    <row r="33" spans="1:28" ht="15.75" thickBot="1" x14ac:dyDescent="0.3">
      <c r="C33" s="10"/>
      <c r="D33" s="1"/>
      <c r="E33" s="1"/>
      <c r="F33" s="1"/>
      <c r="G33" s="1"/>
      <c r="H33" s="1"/>
      <c r="I33" s="1"/>
      <c r="J33" s="159"/>
      <c r="K33" s="159"/>
      <c r="L33" s="159"/>
      <c r="M33" s="159"/>
      <c r="N33" s="159"/>
      <c r="O33" s="159"/>
      <c r="P33" s="159"/>
      <c r="Q33" s="159"/>
      <c r="R33" s="159"/>
      <c r="S33" s="159"/>
      <c r="T33" s="159"/>
      <c r="U33" s="159"/>
      <c r="V33" s="159"/>
      <c r="W33" s="160"/>
      <c r="Y33" s="275" t="s">
        <v>314</v>
      </c>
      <c r="Z33" s="1"/>
      <c r="AA33" s="1"/>
      <c r="AB33" s="273">
        <f>IFERROR(AB32/AB7,0)</f>
        <v>-0.1764065934065934</v>
      </c>
    </row>
    <row r="34" spans="1:28" s="7" customFormat="1" ht="19.5" outlineLevel="1" thickBot="1" x14ac:dyDescent="0.35">
      <c r="A34" s="153"/>
      <c r="C34" s="9" t="s">
        <v>152</v>
      </c>
      <c r="D34" s="1"/>
      <c r="E34" s="152">
        <f>-הנחות!F16</f>
        <v>0</v>
      </c>
      <c r="F34" s="1"/>
      <c r="G34" s="1"/>
      <c r="H34" s="1"/>
      <c r="I34" s="1"/>
      <c r="J34" s="159">
        <f>E34</f>
        <v>0</v>
      </c>
      <c r="K34" s="159">
        <f>J37</f>
        <v>-358250</v>
      </c>
      <c r="L34" s="159">
        <f t="shared" ref="L34:V34" si="16">K37</f>
        <v>-714500</v>
      </c>
      <c r="M34" s="159">
        <f t="shared" si="16"/>
        <v>-1068750</v>
      </c>
      <c r="N34" s="159">
        <f t="shared" si="16"/>
        <v>-1421000</v>
      </c>
      <c r="O34" s="159">
        <f t="shared" si="16"/>
        <v>-1771250</v>
      </c>
      <c r="P34" s="159">
        <f t="shared" si="16"/>
        <v>-2119500</v>
      </c>
      <c r="Q34" s="159">
        <f t="shared" si="16"/>
        <v>-2319800</v>
      </c>
      <c r="R34" s="159">
        <f t="shared" si="16"/>
        <v>-2372150</v>
      </c>
      <c r="S34" s="159">
        <f t="shared" si="16"/>
        <v>-2860350</v>
      </c>
      <c r="T34" s="159">
        <f t="shared" si="16"/>
        <v>-2908700</v>
      </c>
      <c r="U34" s="159">
        <f t="shared" si="16"/>
        <v>-2809100</v>
      </c>
      <c r="V34" s="159">
        <f t="shared" si="16"/>
        <v>-2561550</v>
      </c>
      <c r="W34" s="160"/>
      <c r="Y34" s="9"/>
      <c r="Z34" s="1"/>
      <c r="AA34" s="1"/>
      <c r="AB34" s="157"/>
    </row>
    <row r="35" spans="1:28" s="7" customFormat="1" ht="18.75" outlineLevel="1" x14ac:dyDescent="0.3">
      <c r="A35" s="153"/>
      <c r="C35" s="9" t="s">
        <v>155</v>
      </c>
      <c r="D35" s="1"/>
      <c r="E35" s="1"/>
      <c r="F35" s="1"/>
      <c r="G35" s="1"/>
      <c r="H35" s="1"/>
      <c r="I35" s="1"/>
      <c r="J35" s="159">
        <f>IF(AND(J32&gt;0,J34&lt;0),MIN(J32,-J34),0)</f>
        <v>0</v>
      </c>
      <c r="K35" s="159">
        <f>IF(AND(K32&gt;0,K34&lt;0),MIN(K32,-K34),0)</f>
        <v>0</v>
      </c>
      <c r="L35" s="159">
        <f t="shared" ref="L35:V35" si="17">IF(AND(L32&gt;0,L34&lt;0),MIN(L32,-L34),0)</f>
        <v>0</v>
      </c>
      <c r="M35" s="159">
        <f t="shared" si="17"/>
        <v>0</v>
      </c>
      <c r="N35" s="159">
        <f t="shared" si="17"/>
        <v>0</v>
      </c>
      <c r="O35" s="159">
        <f t="shared" si="17"/>
        <v>0</v>
      </c>
      <c r="P35" s="159">
        <f t="shared" si="17"/>
        <v>0</v>
      </c>
      <c r="Q35" s="159">
        <f t="shared" si="17"/>
        <v>0</v>
      </c>
      <c r="R35" s="159">
        <f t="shared" si="17"/>
        <v>0</v>
      </c>
      <c r="S35" s="159">
        <f t="shared" si="17"/>
        <v>0</v>
      </c>
      <c r="T35" s="159">
        <f t="shared" si="17"/>
        <v>99600</v>
      </c>
      <c r="U35" s="159">
        <f t="shared" si="17"/>
        <v>247550</v>
      </c>
      <c r="V35" s="159">
        <f t="shared" si="17"/>
        <v>395500</v>
      </c>
      <c r="W35" s="160"/>
      <c r="Y35" s="9"/>
      <c r="Z35" s="1"/>
      <c r="AA35" s="1"/>
      <c r="AB35" s="157"/>
    </row>
    <row r="36" spans="1:28" s="7" customFormat="1" ht="18.75" outlineLevel="1" x14ac:dyDescent="0.3">
      <c r="A36" s="153"/>
      <c r="C36" s="9" t="s">
        <v>156</v>
      </c>
      <c r="D36" s="1"/>
      <c r="E36" s="1"/>
      <c r="F36" s="1"/>
      <c r="G36" s="1"/>
      <c r="H36" s="1"/>
      <c r="I36" s="1"/>
      <c r="J36" s="159">
        <f>IF(J32&lt;0,J32,0)</f>
        <v>-358250</v>
      </c>
      <c r="K36" s="159">
        <f>IF(K32&lt;0,K32,0)</f>
        <v>-356250</v>
      </c>
      <c r="L36" s="159">
        <f t="shared" ref="L36:V36" si="18">IF(L32&lt;0,L32,0)</f>
        <v>-354250</v>
      </c>
      <c r="M36" s="159">
        <f t="shared" si="18"/>
        <v>-352250</v>
      </c>
      <c r="N36" s="159">
        <f t="shared" si="18"/>
        <v>-350250</v>
      </c>
      <c r="O36" s="159">
        <f t="shared" si="18"/>
        <v>-348250</v>
      </c>
      <c r="P36" s="159">
        <f t="shared" si="18"/>
        <v>-200300</v>
      </c>
      <c r="Q36" s="159">
        <f t="shared" si="18"/>
        <v>-52350</v>
      </c>
      <c r="R36" s="159">
        <f t="shared" si="18"/>
        <v>-488200</v>
      </c>
      <c r="S36" s="159">
        <f t="shared" si="18"/>
        <v>-48350</v>
      </c>
      <c r="T36" s="159">
        <f t="shared" si="18"/>
        <v>0</v>
      </c>
      <c r="U36" s="159">
        <f t="shared" si="18"/>
        <v>0</v>
      </c>
      <c r="V36" s="159">
        <f t="shared" si="18"/>
        <v>0</v>
      </c>
      <c r="W36" s="160"/>
      <c r="Y36" s="9"/>
      <c r="Z36" s="1"/>
      <c r="AA36" s="1"/>
      <c r="AB36" s="157"/>
    </row>
    <row r="37" spans="1:28" s="7" customFormat="1" ht="18.75" outlineLevel="1" x14ac:dyDescent="0.3">
      <c r="A37" s="153"/>
      <c r="C37" s="9" t="s">
        <v>154</v>
      </c>
      <c r="D37" s="1"/>
      <c r="E37" s="1"/>
      <c r="F37" s="1"/>
      <c r="G37" s="1"/>
      <c r="H37" s="1"/>
      <c r="I37" s="1"/>
      <c r="J37" s="159">
        <f>SUM(J34:J36)</f>
        <v>-358250</v>
      </c>
      <c r="K37" s="159">
        <f t="shared" ref="K37:V37" si="19">SUM(K34:K36)</f>
        <v>-714500</v>
      </c>
      <c r="L37" s="159">
        <f t="shared" si="19"/>
        <v>-1068750</v>
      </c>
      <c r="M37" s="159">
        <f t="shared" si="19"/>
        <v>-1421000</v>
      </c>
      <c r="N37" s="159">
        <f t="shared" si="19"/>
        <v>-1771250</v>
      </c>
      <c r="O37" s="159">
        <f t="shared" si="19"/>
        <v>-2119500</v>
      </c>
      <c r="P37" s="159">
        <f t="shared" si="19"/>
        <v>-2319800</v>
      </c>
      <c r="Q37" s="159">
        <f t="shared" si="19"/>
        <v>-2372150</v>
      </c>
      <c r="R37" s="159">
        <f t="shared" si="19"/>
        <v>-2860350</v>
      </c>
      <c r="S37" s="159">
        <f t="shared" si="19"/>
        <v>-2908700</v>
      </c>
      <c r="T37" s="159">
        <f t="shared" si="19"/>
        <v>-2809100</v>
      </c>
      <c r="U37" s="159">
        <f t="shared" si="19"/>
        <v>-2561550</v>
      </c>
      <c r="V37" s="159">
        <f t="shared" si="19"/>
        <v>-2166050</v>
      </c>
      <c r="W37" s="160"/>
      <c r="Y37" s="9"/>
      <c r="Z37" s="1"/>
      <c r="AA37" s="1"/>
      <c r="AB37" s="157"/>
    </row>
    <row r="38" spans="1:28" s="7" customFormat="1" ht="18.75" outlineLevel="1" x14ac:dyDescent="0.3">
      <c r="A38" s="153"/>
      <c r="C38" s="9" t="s">
        <v>153</v>
      </c>
      <c r="D38" s="1"/>
      <c r="E38" s="1"/>
      <c r="F38" s="1"/>
      <c r="G38" s="1"/>
      <c r="H38" s="1"/>
      <c r="I38" s="1"/>
      <c r="J38" s="159">
        <f>IF(J32&lt;0,0,J32-J35)</f>
        <v>0</v>
      </c>
      <c r="K38" s="159">
        <f t="shared" ref="K38:V38" si="20">IF(K32&lt;0,0,K32-K35)</f>
        <v>0</v>
      </c>
      <c r="L38" s="159">
        <f t="shared" si="20"/>
        <v>0</v>
      </c>
      <c r="M38" s="159">
        <f t="shared" si="20"/>
        <v>0</v>
      </c>
      <c r="N38" s="159">
        <f t="shared" si="20"/>
        <v>0</v>
      </c>
      <c r="O38" s="159">
        <f t="shared" si="20"/>
        <v>0</v>
      </c>
      <c r="P38" s="159">
        <f t="shared" si="20"/>
        <v>0</v>
      </c>
      <c r="Q38" s="159">
        <f t="shared" si="20"/>
        <v>0</v>
      </c>
      <c r="R38" s="159">
        <f t="shared" si="20"/>
        <v>0</v>
      </c>
      <c r="S38" s="159">
        <f t="shared" si="20"/>
        <v>0</v>
      </c>
      <c r="T38" s="159">
        <f t="shared" si="20"/>
        <v>0</v>
      </c>
      <c r="U38" s="159">
        <f t="shared" si="20"/>
        <v>0</v>
      </c>
      <c r="V38" s="159">
        <f t="shared" si="20"/>
        <v>0</v>
      </c>
      <c r="W38" s="160">
        <f t="shared" si="5"/>
        <v>0</v>
      </c>
      <c r="Y38" s="9"/>
      <c r="Z38" s="1"/>
      <c r="AA38" s="1"/>
      <c r="AB38" s="157"/>
    </row>
    <row r="39" spans="1:28" s="7" customFormat="1" ht="15.75" outlineLevel="1" thickBot="1" x14ac:dyDescent="0.3">
      <c r="C39" s="10"/>
      <c r="D39" s="1"/>
      <c r="E39" s="1"/>
      <c r="F39" s="1"/>
      <c r="G39" s="1"/>
      <c r="H39" s="1"/>
      <c r="I39" s="1"/>
      <c r="J39" s="159"/>
      <c r="K39" s="159"/>
      <c r="L39" s="159"/>
      <c r="M39" s="159"/>
      <c r="N39" s="159"/>
      <c r="O39" s="159"/>
      <c r="P39" s="159"/>
      <c r="Q39" s="159"/>
      <c r="R39" s="159"/>
      <c r="S39" s="159"/>
      <c r="T39" s="159"/>
      <c r="U39" s="159"/>
      <c r="V39" s="159"/>
      <c r="W39" s="160">
        <f t="shared" si="5"/>
        <v>0</v>
      </c>
      <c r="Y39" s="10"/>
      <c r="Z39" s="1"/>
      <c r="AA39" s="1"/>
      <c r="AB39" s="157"/>
    </row>
    <row r="40" spans="1:28" ht="15.75" thickBot="1" x14ac:dyDescent="0.3">
      <c r="C40" s="10" t="s">
        <v>150</v>
      </c>
      <c r="D40" s="1"/>
      <c r="E40" s="167">
        <f>הנחות!F18</f>
        <v>0.23</v>
      </c>
      <c r="F40" s="1"/>
      <c r="G40" s="1"/>
      <c r="H40" s="1"/>
      <c r="I40" s="1"/>
      <c r="J40" s="159">
        <f t="shared" ref="J40:V40" si="21">-J38*$E$40</f>
        <v>0</v>
      </c>
      <c r="K40" s="159">
        <f t="shared" si="21"/>
        <v>0</v>
      </c>
      <c r="L40" s="159">
        <f t="shared" si="21"/>
        <v>0</v>
      </c>
      <c r="M40" s="159">
        <f t="shared" si="21"/>
        <v>0</v>
      </c>
      <c r="N40" s="159">
        <f t="shared" si="21"/>
        <v>0</v>
      </c>
      <c r="O40" s="159">
        <f t="shared" si="21"/>
        <v>0</v>
      </c>
      <c r="P40" s="159">
        <f t="shared" si="21"/>
        <v>0</v>
      </c>
      <c r="Q40" s="159">
        <f t="shared" si="21"/>
        <v>0</v>
      </c>
      <c r="R40" s="159">
        <f t="shared" si="21"/>
        <v>0</v>
      </c>
      <c r="S40" s="159">
        <f t="shared" si="21"/>
        <v>0</v>
      </c>
      <c r="T40" s="159">
        <f t="shared" si="21"/>
        <v>0</v>
      </c>
      <c r="U40" s="159">
        <f t="shared" si="21"/>
        <v>0</v>
      </c>
      <c r="V40" s="159">
        <f t="shared" si="21"/>
        <v>0</v>
      </c>
      <c r="W40" s="160">
        <f t="shared" si="5"/>
        <v>0</v>
      </c>
      <c r="Y40" s="10" t="s">
        <v>150</v>
      </c>
      <c r="Z40" s="1"/>
      <c r="AA40" s="1"/>
      <c r="AB40" s="158">
        <f t="shared" ref="AB40" si="22">SUMIFS(J40:V40,$J$6:$V$6,1)</f>
        <v>0</v>
      </c>
    </row>
    <row r="41" spans="1:28" ht="6" customHeight="1" x14ac:dyDescent="0.25">
      <c r="C41" s="10"/>
      <c r="D41" s="1"/>
      <c r="E41" s="1"/>
      <c r="F41" s="1"/>
      <c r="G41" s="1"/>
      <c r="H41" s="1"/>
      <c r="I41" s="1"/>
      <c r="J41" s="159"/>
      <c r="K41" s="159"/>
      <c r="L41" s="159"/>
      <c r="M41" s="159"/>
      <c r="N41" s="159"/>
      <c r="O41" s="159"/>
      <c r="P41" s="159"/>
      <c r="Q41" s="159"/>
      <c r="R41" s="159"/>
      <c r="S41" s="159"/>
      <c r="T41" s="159"/>
      <c r="U41" s="159"/>
      <c r="V41" s="159"/>
      <c r="W41" s="160"/>
      <c r="Y41" s="10"/>
      <c r="Z41" s="1"/>
      <c r="AA41" s="1"/>
      <c r="AB41" s="157"/>
    </row>
    <row r="42" spans="1:28" x14ac:dyDescent="0.25">
      <c r="C42" s="10" t="s">
        <v>151</v>
      </c>
      <c r="D42" s="1"/>
      <c r="E42" s="1"/>
      <c r="F42" s="1"/>
      <c r="G42" s="1"/>
      <c r="H42" s="1"/>
      <c r="I42" s="1"/>
      <c r="J42" s="185">
        <f>SUM(J32,J40)</f>
        <v>-358250</v>
      </c>
      <c r="K42" s="185">
        <f t="shared" ref="K42:V42" si="23">SUM(K32,K40)</f>
        <v>-356250</v>
      </c>
      <c r="L42" s="185">
        <f t="shared" si="23"/>
        <v>-354250</v>
      </c>
      <c r="M42" s="185">
        <f t="shared" si="23"/>
        <v>-352250</v>
      </c>
      <c r="N42" s="185">
        <f>SUM(N32,N40)</f>
        <v>-350250</v>
      </c>
      <c r="O42" s="185">
        <f t="shared" si="23"/>
        <v>-348250</v>
      </c>
      <c r="P42" s="185">
        <f t="shared" si="23"/>
        <v>-200300</v>
      </c>
      <c r="Q42" s="185">
        <f t="shared" si="23"/>
        <v>-52350</v>
      </c>
      <c r="R42" s="185">
        <f t="shared" si="23"/>
        <v>-488200</v>
      </c>
      <c r="S42" s="185">
        <f t="shared" si="23"/>
        <v>-48350</v>
      </c>
      <c r="T42" s="185">
        <f t="shared" si="23"/>
        <v>99600</v>
      </c>
      <c r="U42" s="185">
        <f t="shared" si="23"/>
        <v>247550</v>
      </c>
      <c r="V42" s="185">
        <f t="shared" si="23"/>
        <v>395500</v>
      </c>
      <c r="W42" s="186">
        <f t="shared" si="5"/>
        <v>-2166050</v>
      </c>
      <c r="Y42" s="10" t="s">
        <v>151</v>
      </c>
      <c r="Z42" s="1"/>
      <c r="AA42" s="1"/>
      <c r="AB42" s="250">
        <f t="shared" ref="AB42" si="24">SUMIFS(J42:V42,$J$6:$V$6,1)</f>
        <v>-1605300</v>
      </c>
    </row>
    <row r="43" spans="1:28" ht="15.75" thickBot="1" x14ac:dyDescent="0.3">
      <c r="C43" s="276" t="s">
        <v>314</v>
      </c>
      <c r="D43" s="2"/>
      <c r="E43" s="2"/>
      <c r="F43" s="2"/>
      <c r="G43" s="2"/>
      <c r="H43" s="2"/>
      <c r="I43" s="2"/>
      <c r="J43" s="271">
        <f>IFERROR(J42/J7,0)</f>
        <v>-0.20471428571428571</v>
      </c>
      <c r="K43" s="271">
        <f t="shared" ref="K43:W43" si="25">IFERROR(K42/K7,0)</f>
        <v>-0.20357142857142857</v>
      </c>
      <c r="L43" s="271">
        <f t="shared" si="25"/>
        <v>-0.20242857142857143</v>
      </c>
      <c r="M43" s="271">
        <f t="shared" si="25"/>
        <v>-0.20128571428571429</v>
      </c>
      <c r="N43" s="271">
        <f t="shared" si="25"/>
        <v>-0.20014285714285715</v>
      </c>
      <c r="O43" s="271">
        <f t="shared" si="25"/>
        <v>-0.19900000000000001</v>
      </c>
      <c r="P43" s="271">
        <f t="shared" si="25"/>
        <v>-9.5380952380952386E-2</v>
      </c>
      <c r="Q43" s="271">
        <f t="shared" si="25"/>
        <v>-2.1367346938775511E-2</v>
      </c>
      <c r="R43" s="271">
        <f t="shared" si="25"/>
        <v>-0.3487142857142857</v>
      </c>
      <c r="S43" s="271">
        <f t="shared" si="25"/>
        <v>-1.9734693877551019E-2</v>
      </c>
      <c r="T43" s="271">
        <f t="shared" si="25"/>
        <v>3.5571428571428573E-2</v>
      </c>
      <c r="U43" s="271">
        <f t="shared" si="25"/>
        <v>7.8587301587301581E-2</v>
      </c>
      <c r="V43" s="271">
        <f t="shared" si="25"/>
        <v>0.113</v>
      </c>
      <c r="W43" s="272">
        <f t="shared" si="25"/>
        <v>-7.6403880070546742E-2</v>
      </c>
      <c r="Y43" s="276" t="s">
        <v>314</v>
      </c>
      <c r="Z43" s="2"/>
      <c r="AA43" s="2"/>
      <c r="AB43" s="274">
        <f>IFERROR(AB42/AB7,0)</f>
        <v>-0.1764065934065934</v>
      </c>
    </row>
    <row r="44" spans="1:28" x14ac:dyDescent="0.25">
      <c r="C44" s="7"/>
      <c r="D44" s="7"/>
      <c r="E44" s="7"/>
      <c r="F44" s="7"/>
      <c r="G44" s="7"/>
      <c r="H44" s="7"/>
      <c r="I44" s="7"/>
      <c r="J44" s="259"/>
      <c r="K44" s="259"/>
      <c r="L44" s="259"/>
      <c r="M44" s="259"/>
      <c r="N44" s="259"/>
      <c r="O44" s="259"/>
      <c r="P44" s="259"/>
      <c r="Q44" s="259"/>
      <c r="R44" s="259"/>
      <c r="S44" s="259"/>
      <c r="T44" s="259"/>
      <c r="U44" s="259"/>
      <c r="V44" s="259"/>
      <c r="W44" s="259"/>
    </row>
    <row r="45" spans="1:28" s="7" customFormat="1" ht="15.75" thickBot="1" x14ac:dyDescent="0.3"/>
    <row r="46" spans="1:28" ht="15.75" x14ac:dyDescent="0.25">
      <c r="C46" s="22" t="s">
        <v>222</v>
      </c>
      <c r="D46" s="39" t="s">
        <v>315</v>
      </c>
      <c r="E46" s="34"/>
      <c r="F46" s="34"/>
      <c r="G46" s="34"/>
      <c r="H46" s="34"/>
      <c r="I46" s="34"/>
      <c r="J46" s="34" t="str">
        <f>'הון חוזר'!I52</f>
        <v>טרום מאי 2020</v>
      </c>
      <c r="K46" s="34" t="str">
        <f>'הון חוזר'!J52</f>
        <v>0-30</v>
      </c>
      <c r="L46" s="34" t="str">
        <f>'הון חוזר'!K52</f>
        <v>30-60</v>
      </c>
      <c r="M46" s="8" t="str">
        <f>'הון חוזר'!L52</f>
        <v>60-90</v>
      </c>
      <c r="O46" s="22" t="s">
        <v>221</v>
      </c>
      <c r="P46" s="39" t="s">
        <v>315</v>
      </c>
      <c r="Q46" s="34"/>
      <c r="R46" s="34" t="str">
        <f>'הון חוזר'!I119</f>
        <v>טרום מאי 2020</v>
      </c>
      <c r="S46" s="34" t="str">
        <f>'הון חוזר'!J119</f>
        <v>0-30</v>
      </c>
      <c r="T46" s="34" t="str">
        <f>'הון חוזר'!K119</f>
        <v>30-60</v>
      </c>
      <c r="U46" s="8" t="str">
        <f>'הון חוזר'!L119</f>
        <v>60-90</v>
      </c>
    </row>
    <row r="47" spans="1:28" ht="15.75" x14ac:dyDescent="0.25">
      <c r="C47" s="174">
        <f t="array" ref="C47:C59">TRANSPOSE(J2:V2)</f>
        <v>43983</v>
      </c>
      <c r="D47" s="154">
        <f ca="1">SUM(J47:M47)</f>
        <v>1625000</v>
      </c>
      <c r="E47" s="1"/>
      <c r="F47" s="1"/>
      <c r="G47" s="1"/>
      <c r="H47" s="1"/>
      <c r="I47" s="1"/>
      <c r="J47" s="159">
        <f>'הון חוזר'!I53</f>
        <v>400000</v>
      </c>
      <c r="K47" s="159">
        <f ca="1">'הון חוזר'!J53</f>
        <v>1225000</v>
      </c>
      <c r="L47" s="159">
        <f ca="1">'הון חוזר'!K53</f>
        <v>0</v>
      </c>
      <c r="M47" s="194">
        <f ca="1">'הון חוזר'!L53</f>
        <v>0</v>
      </c>
      <c r="O47" s="174">
        <f t="array" ref="O47:O59">TRANSPOSE(J2:V2)</f>
        <v>43983</v>
      </c>
      <c r="P47" s="154">
        <f ca="1">SUM(R47:U47)</f>
        <v>951225</v>
      </c>
      <c r="Q47" s="1"/>
      <c r="R47" s="159">
        <f>'הון חוזר'!I120</f>
        <v>600000</v>
      </c>
      <c r="S47" s="159">
        <f ca="1">'הון חוזר'!J120</f>
        <v>351225</v>
      </c>
      <c r="T47" s="159">
        <f ca="1">'הון חוזר'!K120</f>
        <v>0</v>
      </c>
      <c r="U47" s="194">
        <f ca="1">'הון חוזר'!L120</f>
        <v>0</v>
      </c>
    </row>
    <row r="48" spans="1:28" ht="15.75" x14ac:dyDescent="0.25">
      <c r="C48" s="174">
        <v>44013</v>
      </c>
      <c r="D48" s="154">
        <f t="shared" ref="D48:D59" ca="1" si="26">SUM(J48:M48)</f>
        <v>1225000</v>
      </c>
      <c r="E48" s="1"/>
      <c r="F48" s="1"/>
      <c r="G48" s="1"/>
      <c r="H48" s="1"/>
      <c r="I48" s="1"/>
      <c r="J48" s="159">
        <f>'הון חוזר'!I54</f>
        <v>0</v>
      </c>
      <c r="K48" s="159">
        <f ca="1">'הון חוזר'!J54</f>
        <v>1225000</v>
      </c>
      <c r="L48" s="159">
        <f ca="1">'הון חוזר'!K54</f>
        <v>0</v>
      </c>
      <c r="M48" s="194">
        <f ca="1">'הון חוזר'!L54</f>
        <v>0</v>
      </c>
      <c r="O48" s="174">
        <v>44013</v>
      </c>
      <c r="P48" s="154">
        <f t="shared" ref="P48:P59" ca="1" si="27">SUM(R48:U48)</f>
        <v>702450</v>
      </c>
      <c r="Q48" s="1"/>
      <c r="R48" s="159">
        <f>'הון חוזר'!I121</f>
        <v>0</v>
      </c>
      <c r="S48" s="159">
        <f ca="1">'הון חוזר'!J121</f>
        <v>351225</v>
      </c>
      <c r="T48" s="159">
        <f ca="1">'הון חוזר'!K121</f>
        <v>351225</v>
      </c>
      <c r="U48" s="194">
        <f ca="1">'הון חוזר'!L121</f>
        <v>0</v>
      </c>
    </row>
    <row r="49" spans="3:21" ht="15.75" x14ac:dyDescent="0.25">
      <c r="C49" s="174">
        <v>44044</v>
      </c>
      <c r="D49" s="154">
        <f t="shared" ca="1" si="26"/>
        <v>1225000</v>
      </c>
      <c r="E49" s="1"/>
      <c r="F49" s="1"/>
      <c r="G49" s="1"/>
      <c r="H49" s="1"/>
      <c r="I49" s="1"/>
      <c r="J49" s="159">
        <f>'הון חוזר'!I55</f>
        <v>0</v>
      </c>
      <c r="K49" s="159">
        <f ca="1">'הון חוזר'!J55</f>
        <v>1225000</v>
      </c>
      <c r="L49" s="159">
        <f ca="1">'הון חוזר'!K55</f>
        <v>0</v>
      </c>
      <c r="M49" s="194">
        <f ca="1">'הון חוזר'!L55</f>
        <v>0</v>
      </c>
      <c r="O49" s="174">
        <v>44044</v>
      </c>
      <c r="P49" s="154">
        <f t="shared" ca="1" si="27"/>
        <v>702450</v>
      </c>
      <c r="Q49" s="1"/>
      <c r="R49" s="159">
        <f>'הון חוזר'!I122</f>
        <v>0</v>
      </c>
      <c r="S49" s="159">
        <f ca="1">'הון חוזר'!J122</f>
        <v>351225</v>
      </c>
      <c r="T49" s="159">
        <f ca="1">'הון חוזר'!K122</f>
        <v>351225</v>
      </c>
      <c r="U49" s="194">
        <f ca="1">'הון חוזר'!L122</f>
        <v>0</v>
      </c>
    </row>
    <row r="50" spans="3:21" ht="15.75" x14ac:dyDescent="0.25">
      <c r="C50" s="174">
        <v>44075</v>
      </c>
      <c r="D50" s="154">
        <f t="shared" ca="1" si="26"/>
        <v>1225000</v>
      </c>
      <c r="E50" s="1"/>
      <c r="F50" s="1"/>
      <c r="G50" s="1"/>
      <c r="H50" s="1"/>
      <c r="I50" s="1"/>
      <c r="J50" s="159">
        <f>'הון חוזר'!I56</f>
        <v>0</v>
      </c>
      <c r="K50" s="159">
        <f ca="1">'הון חוזר'!J56</f>
        <v>1225000</v>
      </c>
      <c r="L50" s="159">
        <f ca="1">'הון חוזר'!K56</f>
        <v>0</v>
      </c>
      <c r="M50" s="194">
        <f ca="1">'הון חוזר'!L56</f>
        <v>0</v>
      </c>
      <c r="O50" s="174">
        <v>44075</v>
      </c>
      <c r="P50" s="154">
        <f t="shared" ca="1" si="27"/>
        <v>702450</v>
      </c>
      <c r="Q50" s="1"/>
      <c r="R50" s="159">
        <f>'הון חוזר'!I123</f>
        <v>0</v>
      </c>
      <c r="S50" s="159">
        <f ca="1">'הון חוזר'!J123</f>
        <v>351225</v>
      </c>
      <c r="T50" s="159">
        <f ca="1">'הון חוזר'!K123</f>
        <v>351225</v>
      </c>
      <c r="U50" s="194">
        <f ca="1">'הון חוזר'!L123</f>
        <v>0</v>
      </c>
    </row>
    <row r="51" spans="3:21" ht="15.75" x14ac:dyDescent="0.25">
      <c r="C51" s="174">
        <v>44105</v>
      </c>
      <c r="D51" s="154">
        <f t="shared" ca="1" si="26"/>
        <v>1225000</v>
      </c>
      <c r="E51" s="1"/>
      <c r="F51" s="1"/>
      <c r="G51" s="1"/>
      <c r="H51" s="1"/>
      <c r="I51" s="1"/>
      <c r="J51" s="159">
        <f>'הון חוזר'!I57</f>
        <v>0</v>
      </c>
      <c r="K51" s="159">
        <f ca="1">'הון חוזר'!J57</f>
        <v>1225000</v>
      </c>
      <c r="L51" s="159">
        <f ca="1">'הון חוזר'!K57</f>
        <v>0</v>
      </c>
      <c r="M51" s="194">
        <f ca="1">'הון חוזר'!L57</f>
        <v>0</v>
      </c>
      <c r="O51" s="174">
        <v>44105</v>
      </c>
      <c r="P51" s="154">
        <f t="shared" ca="1" si="27"/>
        <v>702450</v>
      </c>
      <c r="Q51" s="1"/>
      <c r="R51" s="159">
        <f>'הון חוזר'!I124</f>
        <v>0</v>
      </c>
      <c r="S51" s="159">
        <f ca="1">'הון חוזר'!J124</f>
        <v>351225</v>
      </c>
      <c r="T51" s="159">
        <f ca="1">'הון חוזר'!K124</f>
        <v>351225</v>
      </c>
      <c r="U51" s="194">
        <f ca="1">'הון חוזר'!L124</f>
        <v>0</v>
      </c>
    </row>
    <row r="52" spans="3:21" ht="15.75" x14ac:dyDescent="0.25">
      <c r="C52" s="174">
        <v>44136</v>
      </c>
      <c r="D52" s="154">
        <f t="shared" ca="1" si="26"/>
        <v>1225000</v>
      </c>
      <c r="E52" s="1"/>
      <c r="F52" s="1"/>
      <c r="G52" s="1"/>
      <c r="H52" s="1"/>
      <c r="I52" s="1"/>
      <c r="J52" s="159">
        <f>'הון חוזר'!I58</f>
        <v>0</v>
      </c>
      <c r="K52" s="159">
        <f ca="1">'הון חוזר'!J58</f>
        <v>1225000</v>
      </c>
      <c r="L52" s="159">
        <f ca="1">'הון חוזר'!K58</f>
        <v>0</v>
      </c>
      <c r="M52" s="194">
        <f ca="1">'הון חוזר'!L58</f>
        <v>0</v>
      </c>
      <c r="O52" s="174">
        <v>44136</v>
      </c>
      <c r="P52" s="154">
        <f t="shared" ca="1" si="27"/>
        <v>702450</v>
      </c>
      <c r="Q52" s="1"/>
      <c r="R52" s="159">
        <f>'הון חוזר'!I125</f>
        <v>0</v>
      </c>
      <c r="S52" s="159">
        <f ca="1">'הון חוזר'!J125</f>
        <v>351225</v>
      </c>
      <c r="T52" s="159">
        <f ca="1">'הון חוזר'!K125</f>
        <v>351225</v>
      </c>
      <c r="U52" s="194">
        <f ca="1">'הון חוזר'!L125</f>
        <v>0</v>
      </c>
    </row>
    <row r="53" spans="3:21" ht="15.75" x14ac:dyDescent="0.25">
      <c r="C53" s="174">
        <v>44166</v>
      </c>
      <c r="D53" s="154">
        <f t="shared" ca="1" si="26"/>
        <v>1470000</v>
      </c>
      <c r="E53" s="1"/>
      <c r="F53" s="1"/>
      <c r="G53" s="1"/>
      <c r="H53" s="1"/>
      <c r="I53" s="1"/>
      <c r="J53" s="159">
        <f>'הון חוזר'!I59</f>
        <v>0</v>
      </c>
      <c r="K53" s="159">
        <f ca="1">'הון חוזר'!J59</f>
        <v>1470000</v>
      </c>
      <c r="L53" s="159">
        <f ca="1">'הון חוזר'!K59</f>
        <v>0</v>
      </c>
      <c r="M53" s="194">
        <f ca="1">'הון חוזר'!L59</f>
        <v>0</v>
      </c>
      <c r="O53" s="174">
        <v>44166</v>
      </c>
      <c r="P53" s="154">
        <f t="shared" ca="1" si="27"/>
        <v>772695</v>
      </c>
      <c r="Q53" s="1"/>
      <c r="R53" s="159">
        <f>'הון חוזר'!I126</f>
        <v>0</v>
      </c>
      <c r="S53" s="159">
        <f ca="1">'הון חוזר'!J126</f>
        <v>421470</v>
      </c>
      <c r="T53" s="159">
        <f ca="1">'הון חוזר'!K126</f>
        <v>351225</v>
      </c>
      <c r="U53" s="194">
        <f ca="1">'הון חוזר'!L126</f>
        <v>0</v>
      </c>
    </row>
    <row r="54" spans="3:21" ht="15.75" x14ac:dyDescent="0.25">
      <c r="C54" s="174">
        <v>44197</v>
      </c>
      <c r="D54" s="154">
        <f t="shared" ca="1" si="26"/>
        <v>1715000</v>
      </c>
      <c r="E54" s="1"/>
      <c r="F54" s="1"/>
      <c r="G54" s="1"/>
      <c r="H54" s="1"/>
      <c r="I54" s="1"/>
      <c r="J54" s="159">
        <f>'הון חוזר'!I60</f>
        <v>0</v>
      </c>
      <c r="K54" s="159">
        <f ca="1">'הון חוזר'!J60</f>
        <v>1715000</v>
      </c>
      <c r="L54" s="159">
        <f ca="1">'הון חוזר'!K60</f>
        <v>0</v>
      </c>
      <c r="M54" s="194">
        <f ca="1">'הון חוזר'!L60</f>
        <v>0</v>
      </c>
      <c r="O54" s="174">
        <v>44197</v>
      </c>
      <c r="P54" s="154">
        <f t="shared" ca="1" si="27"/>
        <v>913185</v>
      </c>
      <c r="Q54" s="1"/>
      <c r="R54" s="159">
        <f>'הון חוזר'!I127</f>
        <v>0</v>
      </c>
      <c r="S54" s="159">
        <f ca="1">'הון חוזר'!J127</f>
        <v>491715</v>
      </c>
      <c r="T54" s="159">
        <f ca="1">'הון חוזר'!K127</f>
        <v>421470</v>
      </c>
      <c r="U54" s="194">
        <f ca="1">'הון חוזר'!L127</f>
        <v>0</v>
      </c>
    </row>
    <row r="55" spans="3:21" ht="15.75" x14ac:dyDescent="0.25">
      <c r="C55" s="174">
        <v>44228</v>
      </c>
      <c r="D55" s="154">
        <f t="shared" ca="1" si="26"/>
        <v>980000</v>
      </c>
      <c r="E55" s="1"/>
      <c r="F55" s="1"/>
      <c r="G55" s="1"/>
      <c r="H55" s="1"/>
      <c r="I55" s="1"/>
      <c r="J55" s="159">
        <f>'הון חוזר'!I61</f>
        <v>0</v>
      </c>
      <c r="K55" s="159">
        <f ca="1">'הון חוזר'!J61</f>
        <v>980000</v>
      </c>
      <c r="L55" s="159">
        <f ca="1">'הון חוזר'!K61</f>
        <v>0</v>
      </c>
      <c r="M55" s="194">
        <f ca="1">'הון חוזר'!L61</f>
        <v>0</v>
      </c>
      <c r="O55" s="174">
        <v>44228</v>
      </c>
      <c r="P55" s="154">
        <f t="shared" ca="1" si="27"/>
        <v>772695</v>
      </c>
      <c r="Q55" s="1"/>
      <c r="R55" s="159">
        <f>'הון חוזר'!I128</f>
        <v>0</v>
      </c>
      <c r="S55" s="159">
        <f ca="1">'הון חוזר'!J128</f>
        <v>280980</v>
      </c>
      <c r="T55" s="159">
        <f ca="1">'הון חוזר'!K128</f>
        <v>491715</v>
      </c>
      <c r="U55" s="194">
        <f ca="1">'הון חוזר'!L128</f>
        <v>0</v>
      </c>
    </row>
    <row r="56" spans="3:21" ht="15.75" x14ac:dyDescent="0.25">
      <c r="C56" s="174">
        <v>44256</v>
      </c>
      <c r="D56" s="154">
        <f t="shared" ca="1" si="26"/>
        <v>1715000</v>
      </c>
      <c r="E56" s="1"/>
      <c r="F56" s="1"/>
      <c r="G56" s="1"/>
      <c r="H56" s="1"/>
      <c r="I56" s="1"/>
      <c r="J56" s="159">
        <f>'הון חוזר'!I62</f>
        <v>0</v>
      </c>
      <c r="K56" s="159">
        <f ca="1">'הון חוזר'!J62</f>
        <v>1715000</v>
      </c>
      <c r="L56" s="159">
        <f ca="1">'הון חוזר'!K62</f>
        <v>0</v>
      </c>
      <c r="M56" s="194">
        <f ca="1">'הון חוזר'!L62</f>
        <v>0</v>
      </c>
      <c r="O56" s="174">
        <v>44256</v>
      </c>
      <c r="P56" s="154">
        <f t="shared" ca="1" si="27"/>
        <v>772695</v>
      </c>
      <c r="Q56" s="1"/>
      <c r="R56" s="159">
        <f>'הון חוזר'!I129</f>
        <v>0</v>
      </c>
      <c r="S56" s="159">
        <f ca="1">'הון חוזר'!J129</f>
        <v>491715</v>
      </c>
      <c r="T56" s="159">
        <f ca="1">'הון חוזר'!K129</f>
        <v>280980</v>
      </c>
      <c r="U56" s="194">
        <f ca="1">'הון חוזר'!L129</f>
        <v>0</v>
      </c>
    </row>
    <row r="57" spans="3:21" ht="15.75" x14ac:dyDescent="0.25">
      <c r="C57" s="174">
        <v>44287</v>
      </c>
      <c r="D57" s="154">
        <f t="shared" ca="1" si="26"/>
        <v>1960000</v>
      </c>
      <c r="E57" s="1"/>
      <c r="F57" s="1"/>
      <c r="G57" s="1"/>
      <c r="H57" s="1"/>
      <c r="I57" s="1"/>
      <c r="J57" s="159">
        <f>'הון חוזר'!I63</f>
        <v>0</v>
      </c>
      <c r="K57" s="159">
        <f ca="1">'הון חוזר'!J63</f>
        <v>1960000</v>
      </c>
      <c r="L57" s="159">
        <f ca="1">'הון חוזר'!K63</f>
        <v>0</v>
      </c>
      <c r="M57" s="194">
        <f ca="1">'הון חוזר'!L63</f>
        <v>0</v>
      </c>
      <c r="O57" s="174">
        <v>44287</v>
      </c>
      <c r="P57" s="154">
        <f t="shared" ca="1" si="27"/>
        <v>1053675</v>
      </c>
      <c r="Q57" s="1"/>
      <c r="R57" s="159">
        <f>'הון חוזר'!I130</f>
        <v>0</v>
      </c>
      <c r="S57" s="159">
        <f ca="1">'הון חוזר'!J130</f>
        <v>561960</v>
      </c>
      <c r="T57" s="159">
        <f ca="1">'הון חוזר'!K130</f>
        <v>491715</v>
      </c>
      <c r="U57" s="194">
        <f ca="1">'הון חוזר'!L130</f>
        <v>0</v>
      </c>
    </row>
    <row r="58" spans="3:21" ht="15.75" x14ac:dyDescent="0.25">
      <c r="C58" s="174">
        <v>44317</v>
      </c>
      <c r="D58" s="154">
        <f t="shared" ca="1" si="26"/>
        <v>2205000</v>
      </c>
      <c r="E58" s="1"/>
      <c r="F58" s="1"/>
      <c r="G58" s="1"/>
      <c r="H58" s="1"/>
      <c r="I58" s="1"/>
      <c r="J58" s="159">
        <f>'הון חוזר'!I64</f>
        <v>0</v>
      </c>
      <c r="K58" s="159">
        <f ca="1">'הון חוזר'!J64</f>
        <v>2205000</v>
      </c>
      <c r="L58" s="159">
        <f ca="1">'הון חוזר'!K64</f>
        <v>0</v>
      </c>
      <c r="M58" s="194">
        <f ca="1">'הון חוזר'!L64</f>
        <v>0</v>
      </c>
      <c r="O58" s="174">
        <v>44317</v>
      </c>
      <c r="P58" s="154">
        <f t="shared" ca="1" si="27"/>
        <v>1194165</v>
      </c>
      <c r="Q58" s="1"/>
      <c r="R58" s="159">
        <f>'הון חוזר'!I131</f>
        <v>0</v>
      </c>
      <c r="S58" s="159">
        <f ca="1">'הון חוזר'!J131</f>
        <v>632205</v>
      </c>
      <c r="T58" s="159">
        <f ca="1">'הון חוזר'!K131</f>
        <v>561960</v>
      </c>
      <c r="U58" s="194">
        <f ca="1">'הון חוזר'!L131</f>
        <v>0</v>
      </c>
    </row>
    <row r="59" spans="3:21" ht="15.75" x14ac:dyDescent="0.25">
      <c r="C59" s="174">
        <v>44348</v>
      </c>
      <c r="D59" s="154">
        <f t="shared" ca="1" si="26"/>
        <v>2450000</v>
      </c>
      <c r="E59" s="1"/>
      <c r="F59" s="1"/>
      <c r="G59" s="1"/>
      <c r="H59" s="1"/>
      <c r="I59" s="1"/>
      <c r="J59" s="159">
        <f>'הון חוזר'!I65</f>
        <v>0</v>
      </c>
      <c r="K59" s="159">
        <f ca="1">'הון חוזר'!J65</f>
        <v>2450000</v>
      </c>
      <c r="L59" s="159">
        <f ca="1">'הון חוזר'!K65</f>
        <v>0</v>
      </c>
      <c r="M59" s="194">
        <f ca="1">'הון חוזר'!L65</f>
        <v>0</v>
      </c>
      <c r="O59" s="174">
        <v>44348</v>
      </c>
      <c r="P59" s="154">
        <f t="shared" ca="1" si="27"/>
        <v>1334655</v>
      </c>
      <c r="Q59" s="1"/>
      <c r="R59" s="159">
        <f>'הון חוזר'!I132</f>
        <v>0</v>
      </c>
      <c r="S59" s="159">
        <f ca="1">'הון חוזר'!J132</f>
        <v>702450</v>
      </c>
      <c r="T59" s="159">
        <f ca="1">'הון חוזר'!K132</f>
        <v>632205</v>
      </c>
      <c r="U59" s="194">
        <f ca="1">'הון חוזר'!L132</f>
        <v>0</v>
      </c>
    </row>
    <row r="60" spans="3:21" ht="15.75" thickBot="1" x14ac:dyDescent="0.3">
      <c r="C60" s="11"/>
      <c r="D60" s="2"/>
      <c r="E60" s="2"/>
      <c r="F60" s="2"/>
      <c r="G60" s="2"/>
      <c r="H60" s="2"/>
      <c r="I60" s="2"/>
      <c r="J60" s="2"/>
      <c r="K60" s="2"/>
      <c r="L60" s="2"/>
      <c r="M60" s="26"/>
      <c r="O60" s="11"/>
      <c r="P60" s="2"/>
      <c r="Q60" s="2"/>
      <c r="R60" s="2"/>
      <c r="S60" s="2"/>
      <c r="T60" s="2"/>
      <c r="U60" s="26"/>
    </row>
    <row r="61" spans="3:21" x14ac:dyDescent="0.25"/>
    <row r="62" spans="3:21" x14ac:dyDescent="0.25"/>
    <row r="63" spans="3:21" x14ac:dyDescent="0.25"/>
    <row r="64" spans="3:21" x14ac:dyDescent="0.25"/>
  </sheetData>
  <dataValidations count="1">
    <dataValidation type="list" allowBlank="1" showInputMessage="1" showErrorMessage="1" sqref="AB4:AB5">
      <formula1>INDIRECT("חודשים")</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D54"/>
  <sheetViews>
    <sheetView showGridLines="0" rightToLeft="1" workbookViewId="0">
      <selection activeCell="A55" sqref="A55:XFD1048576"/>
    </sheetView>
  </sheetViews>
  <sheetFormatPr defaultColWidth="0" defaultRowHeight="15" zeroHeight="1" x14ac:dyDescent="0.25"/>
  <cols>
    <col min="1" max="2" width="4" customWidth="1"/>
    <col min="3" max="3" width="29" customWidth="1"/>
    <col min="4" max="9" width="0.140625" customWidth="1"/>
    <col min="10" max="22" width="11.28515625" bestFit="1" customWidth="1"/>
    <col min="23" max="23" width="12.28515625" bestFit="1" customWidth="1"/>
    <col min="24" max="26" width="9.140625" customWidth="1"/>
    <col min="27" max="27" width="12.5703125" customWidth="1"/>
    <col min="28" max="28" width="12.28515625" bestFit="1" customWidth="1"/>
    <col min="29" max="30" width="9.140625" customWidth="1"/>
    <col min="31" max="16384" width="9.140625" hidden="1"/>
  </cols>
  <sheetData>
    <row r="1" spans="3:28" ht="15.75" thickBot="1" x14ac:dyDescent="0.3"/>
    <row r="2" spans="3:28" s="7" customFormat="1" ht="15.75" x14ac:dyDescent="0.25">
      <c r="C2" s="22" t="s">
        <v>341</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20" t="s">
        <v>23</v>
      </c>
      <c r="Y2" s="22" t="s">
        <v>340</v>
      </c>
      <c r="Z2" s="34"/>
      <c r="AA2" s="34"/>
      <c r="AB2" s="156"/>
    </row>
    <row r="3" spans="3:28" s="7" customFormat="1" ht="15.75" thickBot="1" x14ac:dyDescent="0.3">
      <c r="C3" s="10"/>
      <c r="D3" s="1"/>
      <c r="E3" s="1"/>
      <c r="F3" s="1"/>
      <c r="G3" s="1"/>
      <c r="H3" s="1"/>
      <c r="I3" s="1"/>
      <c r="J3" s="1"/>
      <c r="K3" s="1"/>
      <c r="L3" s="1"/>
      <c r="M3" s="1"/>
      <c r="N3" s="1"/>
      <c r="O3" s="1"/>
      <c r="P3" s="1"/>
      <c r="Q3" s="1"/>
      <c r="R3" s="1"/>
      <c r="S3" s="1"/>
      <c r="T3" s="1"/>
      <c r="U3" s="1"/>
      <c r="V3" s="1"/>
      <c r="W3" s="155"/>
      <c r="Y3" s="10"/>
      <c r="Z3" s="1"/>
      <c r="AA3" s="1"/>
      <c r="AB3" s="25"/>
    </row>
    <row r="4" spans="3:28" s="7" customFormat="1" ht="15.75" thickBot="1" x14ac:dyDescent="0.3">
      <c r="C4" s="10" t="s">
        <v>140</v>
      </c>
      <c r="D4" s="1"/>
      <c r="E4" s="1"/>
      <c r="F4" s="1"/>
      <c r="G4" s="70">
        <f>Dashboard!D4</f>
        <v>43983</v>
      </c>
      <c r="H4" s="1"/>
      <c r="I4" s="1"/>
      <c r="J4" s="151" t="str">
        <f>IF(J2&gt;=$G$4,"YES","NO")</f>
        <v>YES</v>
      </c>
      <c r="K4" s="151" t="str">
        <f t="shared" ref="K4:V4" si="1">IF(K2&gt;=$G$4,"YES","NO")</f>
        <v>YES</v>
      </c>
      <c r="L4" s="151" t="str">
        <f t="shared" si="1"/>
        <v>YES</v>
      </c>
      <c r="M4" s="151" t="str">
        <f t="shared" si="1"/>
        <v>YES</v>
      </c>
      <c r="N4" s="151" t="str">
        <f t="shared" si="1"/>
        <v>YES</v>
      </c>
      <c r="O4" s="151" t="str">
        <f t="shared" si="1"/>
        <v>YES</v>
      </c>
      <c r="P4" s="151" t="str">
        <f t="shared" si="1"/>
        <v>YES</v>
      </c>
      <c r="Q4" s="151" t="str">
        <f t="shared" si="1"/>
        <v>YES</v>
      </c>
      <c r="R4" s="151" t="str">
        <f t="shared" si="1"/>
        <v>YES</v>
      </c>
      <c r="S4" s="151" t="str">
        <f t="shared" si="1"/>
        <v>YES</v>
      </c>
      <c r="T4" s="151" t="str">
        <f t="shared" si="1"/>
        <v>YES</v>
      </c>
      <c r="U4" s="151" t="str">
        <f t="shared" si="1"/>
        <v>YES</v>
      </c>
      <c r="V4" s="151" t="str">
        <f t="shared" si="1"/>
        <v>YES</v>
      </c>
      <c r="W4" s="155"/>
      <c r="Y4" s="10" t="s">
        <v>158</v>
      </c>
      <c r="Z4" s="1"/>
      <c r="AA4" s="1"/>
      <c r="AB4" s="85">
        <v>44075</v>
      </c>
    </row>
    <row r="5" spans="3:28" s="7" customFormat="1" ht="15" customHeight="1" thickBot="1" x14ac:dyDescent="0.3">
      <c r="C5" s="10"/>
      <c r="D5" s="1"/>
      <c r="E5" s="1"/>
      <c r="F5" s="1"/>
      <c r="G5" s="70"/>
      <c r="H5" s="1"/>
      <c r="I5" s="1"/>
      <c r="J5" s="151"/>
      <c r="K5" s="151"/>
      <c r="L5" s="151"/>
      <c r="M5" s="151"/>
      <c r="N5" s="151"/>
      <c r="O5" s="151"/>
      <c r="P5" s="151"/>
      <c r="Q5" s="151"/>
      <c r="R5" s="151"/>
      <c r="S5" s="151"/>
      <c r="T5" s="151"/>
      <c r="U5" s="151"/>
      <c r="V5" s="151"/>
      <c r="W5" s="155"/>
      <c r="Y5" s="10" t="s">
        <v>160</v>
      </c>
      <c r="Z5" s="1"/>
      <c r="AA5" s="1"/>
      <c r="AB5" s="85">
        <v>44317</v>
      </c>
    </row>
    <row r="6" spans="3:28" s="7" customFormat="1" hidden="1" x14ac:dyDescent="0.25">
      <c r="C6" s="10" t="s">
        <v>159</v>
      </c>
      <c r="D6" s="1"/>
      <c r="E6" s="1"/>
      <c r="F6" s="1"/>
      <c r="G6" s="1"/>
      <c r="H6" s="1"/>
      <c r="I6" s="1"/>
      <c r="J6" s="154">
        <f>IF(AND(J2&gt;=$AB$4,J2&lt;=$AB$5),1,0)</f>
        <v>0</v>
      </c>
      <c r="K6" s="154">
        <f t="shared" ref="K6:V6" si="2">IF(AND(K2&gt;=$AB$4,K2&lt;=$AB$5),1,0)</f>
        <v>0</v>
      </c>
      <c r="L6" s="154">
        <f t="shared" si="2"/>
        <v>0</v>
      </c>
      <c r="M6" s="154">
        <f t="shared" si="2"/>
        <v>1</v>
      </c>
      <c r="N6" s="154">
        <f t="shared" si="2"/>
        <v>1</v>
      </c>
      <c r="O6" s="154">
        <f t="shared" si="2"/>
        <v>1</v>
      </c>
      <c r="P6" s="154">
        <f t="shared" si="2"/>
        <v>1</v>
      </c>
      <c r="Q6" s="154">
        <f t="shared" si="2"/>
        <v>1</v>
      </c>
      <c r="R6" s="154">
        <f t="shared" si="2"/>
        <v>1</v>
      </c>
      <c r="S6" s="154">
        <f t="shared" si="2"/>
        <v>1</v>
      </c>
      <c r="T6" s="154">
        <f t="shared" si="2"/>
        <v>1</v>
      </c>
      <c r="U6" s="154">
        <f t="shared" si="2"/>
        <v>1</v>
      </c>
      <c r="V6" s="154">
        <f t="shared" si="2"/>
        <v>0</v>
      </c>
      <c r="W6" s="155"/>
      <c r="Y6" s="10"/>
      <c r="Z6" s="1"/>
      <c r="AA6" s="1"/>
      <c r="AB6" s="25"/>
    </row>
    <row r="7" spans="3:28" s="7" customFormat="1" x14ac:dyDescent="0.25">
      <c r="C7" s="10"/>
      <c r="D7" s="1"/>
      <c r="E7" s="1"/>
      <c r="F7" s="1"/>
      <c r="G7" s="1"/>
      <c r="H7" s="1"/>
      <c r="I7" s="1"/>
      <c r="J7" s="154"/>
      <c r="K7" s="154"/>
      <c r="L7" s="154"/>
      <c r="M7" s="154"/>
      <c r="N7" s="154"/>
      <c r="O7" s="154"/>
      <c r="P7" s="154"/>
      <c r="Q7" s="154"/>
      <c r="R7" s="154"/>
      <c r="S7" s="154"/>
      <c r="T7" s="154"/>
      <c r="U7" s="154"/>
      <c r="V7" s="154"/>
      <c r="W7" s="155"/>
      <c r="Y7" s="10"/>
      <c r="Z7" s="1"/>
      <c r="AA7" s="1"/>
      <c r="AB7" s="25"/>
    </row>
    <row r="8" spans="3:28" s="7" customFormat="1" x14ac:dyDescent="0.25">
      <c r="C8" s="189" t="s">
        <v>205</v>
      </c>
      <c r="D8" s="1"/>
      <c r="E8" s="1"/>
      <c r="F8" s="1"/>
      <c r="G8" s="1"/>
      <c r="H8" s="1"/>
      <c r="I8" s="1"/>
      <c r="J8" s="185">
        <f>'רווח והפסד'!J42</f>
        <v>-358250</v>
      </c>
      <c r="K8" s="185">
        <f>'רווח והפסד'!K42</f>
        <v>-356250</v>
      </c>
      <c r="L8" s="185">
        <f>'רווח והפסד'!L42</f>
        <v>-354250</v>
      </c>
      <c r="M8" s="185">
        <f>'רווח והפסד'!M42</f>
        <v>-352250</v>
      </c>
      <c r="N8" s="185">
        <f>'רווח והפסד'!N42</f>
        <v>-350250</v>
      </c>
      <c r="O8" s="185">
        <f>'רווח והפסד'!O42</f>
        <v>-348250</v>
      </c>
      <c r="P8" s="185">
        <f>'רווח והפסד'!P42</f>
        <v>-200300</v>
      </c>
      <c r="Q8" s="185">
        <f>'רווח והפסד'!Q42</f>
        <v>-52350</v>
      </c>
      <c r="R8" s="185">
        <f>'רווח והפסד'!R42</f>
        <v>-488200</v>
      </c>
      <c r="S8" s="185">
        <f>'רווח והפסד'!S42</f>
        <v>-48350</v>
      </c>
      <c r="T8" s="185">
        <f>'רווח והפסד'!T42</f>
        <v>99600</v>
      </c>
      <c r="U8" s="185">
        <f>'רווח והפסד'!U42</f>
        <v>247550</v>
      </c>
      <c r="V8" s="185">
        <f>'רווח והפסד'!V42</f>
        <v>395500</v>
      </c>
      <c r="W8" s="186">
        <f>SUM(J8:V8)</f>
        <v>-2166050</v>
      </c>
      <c r="Y8" s="189" t="s">
        <v>205</v>
      </c>
      <c r="Z8" s="1"/>
      <c r="AA8" s="1"/>
      <c r="AB8" s="193">
        <f>SUMIFS(J8:V8,$J$6:$V$6,1)</f>
        <v>-1492800</v>
      </c>
    </row>
    <row r="9" spans="3:28" s="7" customFormat="1" ht="6" customHeight="1" x14ac:dyDescent="0.25">
      <c r="C9" s="10"/>
      <c r="D9" s="1"/>
      <c r="E9" s="1"/>
      <c r="F9" s="1"/>
      <c r="G9" s="1"/>
      <c r="H9" s="1"/>
      <c r="I9" s="1"/>
      <c r="J9" s="159"/>
      <c r="K9" s="159"/>
      <c r="L9" s="159"/>
      <c r="M9" s="159"/>
      <c r="N9" s="159"/>
      <c r="O9" s="159"/>
      <c r="P9" s="159"/>
      <c r="Q9" s="159"/>
      <c r="R9" s="159"/>
      <c r="S9" s="159"/>
      <c r="T9" s="159"/>
      <c r="U9" s="159"/>
      <c r="V9" s="159"/>
      <c r="W9" s="160"/>
      <c r="Y9" s="10"/>
      <c r="Z9" s="1"/>
      <c r="AA9" s="1"/>
      <c r="AB9" s="194"/>
    </row>
    <row r="10" spans="3:28" s="7" customFormat="1" x14ac:dyDescent="0.25">
      <c r="C10" s="188" t="s">
        <v>206</v>
      </c>
      <c r="D10" s="1"/>
      <c r="E10" s="1"/>
      <c r="F10" s="1"/>
      <c r="G10" s="1"/>
      <c r="H10" s="1"/>
      <c r="I10" s="1"/>
      <c r="J10" s="159"/>
      <c r="K10" s="159"/>
      <c r="L10" s="159"/>
      <c r="M10" s="159"/>
      <c r="N10" s="159"/>
      <c r="O10" s="159"/>
      <c r="P10" s="159"/>
      <c r="Q10" s="159"/>
      <c r="R10" s="159"/>
      <c r="S10" s="159"/>
      <c r="T10" s="159"/>
      <c r="U10" s="159"/>
      <c r="V10" s="159"/>
      <c r="W10" s="160"/>
      <c r="Y10" s="188" t="s">
        <v>206</v>
      </c>
      <c r="Z10" s="1"/>
      <c r="AA10" s="1"/>
      <c r="AB10" s="194"/>
    </row>
    <row r="11" spans="3:28" s="7" customFormat="1" ht="6" customHeight="1" x14ac:dyDescent="0.25">
      <c r="C11" s="184"/>
      <c r="D11" s="1"/>
      <c r="E11" s="1"/>
      <c r="F11" s="1"/>
      <c r="G11" s="1"/>
      <c r="H11" s="1"/>
      <c r="I11" s="1"/>
      <c r="J11" s="159"/>
      <c r="K11" s="159"/>
      <c r="L11" s="159"/>
      <c r="M11" s="159"/>
      <c r="N11" s="159"/>
      <c r="O11" s="159"/>
      <c r="P11" s="159"/>
      <c r="Q11" s="159"/>
      <c r="R11" s="159"/>
      <c r="S11" s="159"/>
      <c r="T11" s="159"/>
      <c r="U11" s="159"/>
      <c r="V11" s="159"/>
      <c r="W11" s="160"/>
      <c r="Y11" s="184"/>
      <c r="Z11" s="1"/>
      <c r="AA11" s="1"/>
      <c r="AB11" s="194"/>
    </row>
    <row r="12" spans="3:28" s="7" customFormat="1" x14ac:dyDescent="0.25">
      <c r="C12" s="184" t="s">
        <v>207</v>
      </c>
      <c r="D12" s="1"/>
      <c r="E12" s="1"/>
      <c r="F12" s="1"/>
      <c r="G12" s="1"/>
      <c r="H12" s="1"/>
      <c r="I12" s="1"/>
      <c r="J12" s="161">
        <f>'הון חוזר'!J34</f>
        <v>400000</v>
      </c>
      <c r="K12" s="161">
        <f>'הון חוזר'!K34</f>
        <v>1625000</v>
      </c>
      <c r="L12" s="161">
        <f>'הון חוזר'!L34</f>
        <v>1225000</v>
      </c>
      <c r="M12" s="161">
        <f>'הון חוזר'!M34</f>
        <v>1225000</v>
      </c>
      <c r="N12" s="161">
        <f>'הון חוזר'!N34</f>
        <v>1225000</v>
      </c>
      <c r="O12" s="161">
        <f>'הון חוזר'!O34</f>
        <v>1225000</v>
      </c>
      <c r="P12" s="161">
        <f>'הון חוזר'!P34</f>
        <v>1225000</v>
      </c>
      <c r="Q12" s="161">
        <f>'הון חוזר'!Q34</f>
        <v>1470000</v>
      </c>
      <c r="R12" s="161">
        <f>'הון חוזר'!R34</f>
        <v>1715000</v>
      </c>
      <c r="S12" s="161">
        <f>'הון חוזר'!S34</f>
        <v>979999.99999999988</v>
      </c>
      <c r="T12" s="161">
        <f>'הון חוזר'!T34</f>
        <v>1715000</v>
      </c>
      <c r="U12" s="161">
        <f>'הון חוזר'!U34</f>
        <v>1960000</v>
      </c>
      <c r="V12" s="161">
        <f>'הון חוזר'!V34</f>
        <v>2205000</v>
      </c>
      <c r="W12" s="162">
        <f t="shared" ref="W12:W37" si="3">SUM(J12:V12)</f>
        <v>18195000</v>
      </c>
      <c r="Y12" s="184" t="s">
        <v>207</v>
      </c>
      <c r="Z12" s="1"/>
      <c r="AA12" s="1"/>
      <c r="AB12" s="195">
        <f>SUMIFS(J12:V12,$J$6:$V$6,1)</f>
        <v>12740000</v>
      </c>
    </row>
    <row r="13" spans="3:28" s="7" customFormat="1" ht="6" customHeight="1" x14ac:dyDescent="0.25">
      <c r="C13" s="184"/>
      <c r="D13" s="1"/>
      <c r="E13" s="1"/>
      <c r="F13" s="1"/>
      <c r="G13" s="1"/>
      <c r="H13" s="1"/>
      <c r="I13" s="1"/>
      <c r="J13" s="159"/>
      <c r="K13" s="159"/>
      <c r="L13" s="159"/>
      <c r="M13" s="159"/>
      <c r="N13" s="159"/>
      <c r="O13" s="159"/>
      <c r="P13" s="159"/>
      <c r="Q13" s="159"/>
      <c r="R13" s="159"/>
      <c r="S13" s="159"/>
      <c r="T13" s="159"/>
      <c r="U13" s="159"/>
      <c r="V13" s="159"/>
      <c r="W13" s="164"/>
      <c r="Y13" s="184"/>
      <c r="Z13" s="1"/>
      <c r="AA13" s="1"/>
      <c r="AB13" s="194"/>
    </row>
    <row r="14" spans="3:28" s="7" customFormat="1" x14ac:dyDescent="0.25">
      <c r="C14" s="184" t="s">
        <v>208</v>
      </c>
      <c r="D14" s="1"/>
      <c r="E14" s="1"/>
      <c r="F14" s="1"/>
      <c r="G14" s="1"/>
      <c r="H14" s="1"/>
      <c r="I14" s="1"/>
      <c r="J14" s="159">
        <f>-'הון חוזר'!J16</f>
        <v>-1225000</v>
      </c>
      <c r="K14" s="159">
        <f>-'הון חוזר'!K16</f>
        <v>-1225000</v>
      </c>
      <c r="L14" s="159">
        <f>-'הון חוזר'!L16</f>
        <v>-1225000</v>
      </c>
      <c r="M14" s="159">
        <f>-'הון חוזר'!M16</f>
        <v>-1225000</v>
      </c>
      <c r="N14" s="159">
        <f>-'הון חוזר'!N16</f>
        <v>-1225000</v>
      </c>
      <c r="O14" s="159">
        <f>-'הון חוזר'!O16</f>
        <v>-1225000</v>
      </c>
      <c r="P14" s="159">
        <f>-'הון חוזר'!P16</f>
        <v>-1470000</v>
      </c>
      <c r="Q14" s="159">
        <f>-'הון חוזר'!Q16</f>
        <v>-1715000</v>
      </c>
      <c r="R14" s="159">
        <f>-'הון חוזר'!R16</f>
        <v>-980000</v>
      </c>
      <c r="S14" s="159">
        <f>-'הון חוזר'!S16</f>
        <v>-1715000</v>
      </c>
      <c r="T14" s="159">
        <f>-'הון חוזר'!T16</f>
        <v>-1960000</v>
      </c>
      <c r="U14" s="159">
        <f>-'הון חוזר'!U16</f>
        <v>-2205000</v>
      </c>
      <c r="V14" s="159">
        <f>-'הון חוזר'!V16</f>
        <v>-2450000</v>
      </c>
      <c r="W14" s="160">
        <f t="shared" si="3"/>
        <v>-19845000</v>
      </c>
      <c r="Y14" s="184" t="s">
        <v>208</v>
      </c>
      <c r="Z14" s="1"/>
      <c r="AA14" s="1"/>
      <c r="AB14" s="194">
        <f>SUMIFS(J14:V14,$J$6:$V$6,1)</f>
        <v>-13720000</v>
      </c>
    </row>
    <row r="15" spans="3:28" s="7" customFormat="1" ht="6" customHeight="1" x14ac:dyDescent="0.25">
      <c r="C15" s="184"/>
      <c r="D15" s="1"/>
      <c r="E15" s="1"/>
      <c r="F15" s="1"/>
      <c r="G15" s="1"/>
      <c r="H15" s="1"/>
      <c r="I15" s="1"/>
      <c r="J15" s="159"/>
      <c r="K15" s="159"/>
      <c r="L15" s="159"/>
      <c r="M15" s="159"/>
      <c r="N15" s="159"/>
      <c r="O15" s="159"/>
      <c r="P15" s="159"/>
      <c r="Q15" s="159"/>
      <c r="R15" s="159"/>
      <c r="S15" s="159"/>
      <c r="T15" s="159"/>
      <c r="U15" s="159"/>
      <c r="V15" s="159"/>
      <c r="W15" s="160"/>
      <c r="Y15" s="184"/>
      <c r="Z15" s="1"/>
      <c r="AA15" s="1"/>
      <c r="AB15" s="194"/>
    </row>
    <row r="16" spans="3:28" s="7" customFormat="1" x14ac:dyDescent="0.25">
      <c r="C16" s="184" t="s">
        <v>210</v>
      </c>
      <c r="D16" s="1"/>
      <c r="E16" s="1"/>
      <c r="F16" s="1"/>
      <c r="G16" s="1"/>
      <c r="H16" s="1"/>
      <c r="I16" s="1"/>
      <c r="J16" s="159">
        <f>-'הון חוזר'!J101</f>
        <v>-600000</v>
      </c>
      <c r="K16" s="159">
        <f>-'הון חוזר'!K101</f>
        <v>-600000</v>
      </c>
      <c r="L16" s="159">
        <f>-'הון חוזר'!L101</f>
        <v>-351225</v>
      </c>
      <c r="M16" s="159">
        <f>-'הון חוזר'!M101</f>
        <v>-351225</v>
      </c>
      <c r="N16" s="159">
        <f>-'הון חוזר'!N101</f>
        <v>-351225</v>
      </c>
      <c r="O16" s="159">
        <f>-'הון חוזר'!O101</f>
        <v>-351225</v>
      </c>
      <c r="P16" s="159">
        <f>-'הון חוזר'!P101</f>
        <v>-351225</v>
      </c>
      <c r="Q16" s="159">
        <f>-'הון חוזר'!Q101</f>
        <v>-351225</v>
      </c>
      <c r="R16" s="159">
        <f>-'הון חוזר'!R101</f>
        <v>-421470</v>
      </c>
      <c r="S16" s="159">
        <f>-'הון חוזר'!S101</f>
        <v>-491715</v>
      </c>
      <c r="T16" s="159">
        <f>-'הון חוזר'!T101</f>
        <v>-280980</v>
      </c>
      <c r="U16" s="159">
        <f>-'הון חוזר'!U101</f>
        <v>-491715</v>
      </c>
      <c r="V16" s="159">
        <f>-'הון חוזר'!V101</f>
        <v>-561960</v>
      </c>
      <c r="W16" s="160">
        <f t="shared" si="3"/>
        <v>-5555190</v>
      </c>
      <c r="Y16" s="184" t="s">
        <v>210</v>
      </c>
      <c r="Z16" s="1"/>
      <c r="AA16" s="1"/>
      <c r="AB16" s="194">
        <f>SUMIFS(J16:V16,$J$6:$V$6,1)</f>
        <v>-3442005</v>
      </c>
    </row>
    <row r="17" spans="3:28" s="7" customFormat="1" ht="6" customHeight="1" x14ac:dyDescent="0.25">
      <c r="C17" s="184"/>
      <c r="D17" s="1"/>
      <c r="E17" s="1"/>
      <c r="F17" s="1"/>
      <c r="G17" s="1"/>
      <c r="H17" s="1"/>
      <c r="I17" s="1"/>
      <c r="J17" s="159"/>
      <c r="K17" s="159"/>
      <c r="L17" s="159"/>
      <c r="M17" s="159"/>
      <c r="N17" s="159"/>
      <c r="O17" s="159"/>
      <c r="P17" s="159"/>
      <c r="Q17" s="159"/>
      <c r="R17" s="159"/>
      <c r="S17" s="159"/>
      <c r="T17" s="159"/>
      <c r="U17" s="159"/>
      <c r="V17" s="159"/>
      <c r="W17" s="160"/>
      <c r="Y17" s="184"/>
      <c r="Z17" s="1"/>
      <c r="AA17" s="1"/>
      <c r="AB17" s="194"/>
    </row>
    <row r="18" spans="3:28" s="7" customFormat="1" x14ac:dyDescent="0.25">
      <c r="C18" s="184" t="s">
        <v>211</v>
      </c>
      <c r="D18" s="1"/>
      <c r="E18" s="1"/>
      <c r="F18" s="1"/>
      <c r="G18" s="1"/>
      <c r="H18" s="1"/>
      <c r="I18" s="1"/>
      <c r="J18" s="159">
        <f>'הון חוזר'!J83</f>
        <v>351225</v>
      </c>
      <c r="K18" s="159">
        <f>'הון חוזר'!K83</f>
        <v>351225</v>
      </c>
      <c r="L18" s="159">
        <f>'הון חוזר'!L83</f>
        <v>351225</v>
      </c>
      <c r="M18" s="159">
        <f>'הון חוזר'!M83</f>
        <v>351225</v>
      </c>
      <c r="N18" s="159">
        <f>'הון חוזר'!N83</f>
        <v>351225</v>
      </c>
      <c r="O18" s="159">
        <f>'הון חוזר'!O83</f>
        <v>351225</v>
      </c>
      <c r="P18" s="159">
        <f>'הון חוזר'!P83</f>
        <v>421470</v>
      </c>
      <c r="Q18" s="159">
        <f>'הון חוזר'!Q83</f>
        <v>491715</v>
      </c>
      <c r="R18" s="159">
        <f>'הון חוזר'!R83</f>
        <v>280980</v>
      </c>
      <c r="S18" s="159">
        <f>'הון חוזר'!S83</f>
        <v>491715</v>
      </c>
      <c r="T18" s="159">
        <f>'הון חוזר'!T83</f>
        <v>561960</v>
      </c>
      <c r="U18" s="159">
        <f>'הון חוזר'!U83</f>
        <v>632205</v>
      </c>
      <c r="V18" s="159">
        <f>'הון חוזר'!V83</f>
        <v>702450</v>
      </c>
      <c r="W18" s="160">
        <f t="shared" si="3"/>
        <v>5689845</v>
      </c>
      <c r="Y18" s="184" t="s">
        <v>211</v>
      </c>
      <c r="Z18" s="1"/>
      <c r="AA18" s="1"/>
      <c r="AB18" s="194">
        <f>SUMIFS(J18:V18,$J$6:$V$6,1)</f>
        <v>3933720</v>
      </c>
    </row>
    <row r="19" spans="3:28" s="7" customFormat="1" ht="6" customHeight="1" x14ac:dyDescent="0.25">
      <c r="C19" s="184"/>
      <c r="D19" s="1"/>
      <c r="E19" s="1"/>
      <c r="F19" s="1"/>
      <c r="G19" s="1"/>
      <c r="H19" s="1"/>
      <c r="I19" s="1"/>
      <c r="J19" s="159"/>
      <c r="K19" s="159"/>
      <c r="L19" s="159"/>
      <c r="M19" s="159"/>
      <c r="N19" s="159"/>
      <c r="O19" s="159"/>
      <c r="P19" s="159"/>
      <c r="Q19" s="159"/>
      <c r="R19" s="159"/>
      <c r="S19" s="159"/>
      <c r="T19" s="159"/>
      <c r="U19" s="159"/>
      <c r="V19" s="159"/>
      <c r="W19" s="160"/>
      <c r="Y19" s="184"/>
      <c r="Z19" s="1"/>
      <c r="AA19" s="1"/>
      <c r="AB19" s="194"/>
    </row>
    <row r="20" spans="3:28" s="7" customFormat="1" x14ac:dyDescent="0.25">
      <c r="C20" s="184" t="s">
        <v>143</v>
      </c>
      <c r="D20" s="1"/>
      <c r="E20" s="1"/>
      <c r="F20" s="1"/>
      <c r="G20" s="1"/>
      <c r="H20" s="1"/>
      <c r="I20" s="1"/>
      <c r="J20" s="159">
        <f>הוצאות!J93</f>
        <v>210000</v>
      </c>
      <c r="K20" s="159">
        <f>הוצאות!K93</f>
        <v>210000</v>
      </c>
      <c r="L20" s="159">
        <f>הוצאות!L93</f>
        <v>210000</v>
      </c>
      <c r="M20" s="159">
        <f>הוצאות!M93</f>
        <v>210000</v>
      </c>
      <c r="N20" s="159">
        <f>הוצאות!N93</f>
        <v>210000</v>
      </c>
      <c r="O20" s="159">
        <f>הוצאות!O93</f>
        <v>210000</v>
      </c>
      <c r="P20" s="159">
        <f>הוצאות!P93</f>
        <v>210000</v>
      </c>
      <c r="Q20" s="159">
        <f>הוצאות!Q93</f>
        <v>210000</v>
      </c>
      <c r="R20" s="159">
        <f>הוצאות!R93</f>
        <v>210000</v>
      </c>
      <c r="S20" s="159">
        <f>הוצאות!S93</f>
        <v>210000</v>
      </c>
      <c r="T20" s="159">
        <f>הוצאות!T93</f>
        <v>210000</v>
      </c>
      <c r="U20" s="159">
        <f>הוצאות!U93</f>
        <v>210000</v>
      </c>
      <c r="V20" s="159">
        <f>הוצאות!V93</f>
        <v>210000</v>
      </c>
      <c r="W20" s="160">
        <f t="shared" si="3"/>
        <v>2730000</v>
      </c>
      <c r="Y20" s="184" t="s">
        <v>143</v>
      </c>
      <c r="Z20" s="1"/>
      <c r="AA20" s="1"/>
      <c r="AB20" s="194">
        <f>SUMIFS(J20:V20,$J$6:$V$6,1)</f>
        <v>1890000</v>
      </c>
    </row>
    <row r="21" spans="3:28" s="7" customFormat="1" ht="6" customHeight="1" x14ac:dyDescent="0.25">
      <c r="C21" s="184"/>
      <c r="D21" s="1"/>
      <c r="E21" s="1"/>
      <c r="F21" s="1"/>
      <c r="G21" s="1"/>
      <c r="H21" s="1"/>
      <c r="I21" s="1"/>
      <c r="J21" s="159"/>
      <c r="K21" s="159"/>
      <c r="L21" s="159"/>
      <c r="M21" s="159"/>
      <c r="N21" s="159"/>
      <c r="O21" s="159"/>
      <c r="P21" s="159"/>
      <c r="Q21" s="159"/>
      <c r="R21" s="159"/>
      <c r="S21" s="159"/>
      <c r="T21" s="159"/>
      <c r="U21" s="159"/>
      <c r="V21" s="159"/>
      <c r="W21" s="160"/>
      <c r="Y21" s="184"/>
      <c r="Z21" s="1"/>
      <c r="AA21" s="1"/>
      <c r="AB21" s="194"/>
    </row>
    <row r="22" spans="3:28" s="7" customFormat="1" x14ac:dyDescent="0.25">
      <c r="C22" s="187" t="s">
        <v>212</v>
      </c>
      <c r="D22" s="1"/>
      <c r="E22" s="1"/>
      <c r="F22" s="1"/>
      <c r="G22" s="1"/>
      <c r="H22" s="1"/>
      <c r="I22" s="1"/>
      <c r="J22" s="190">
        <f t="shared" ref="J22:V22" si="4">SUM(J8,J12:J20)</f>
        <v>-1222025</v>
      </c>
      <c r="K22" s="190">
        <f t="shared" si="4"/>
        <v>4975</v>
      </c>
      <c r="L22" s="190">
        <f t="shared" si="4"/>
        <v>-144250</v>
      </c>
      <c r="M22" s="190">
        <f t="shared" si="4"/>
        <v>-142250</v>
      </c>
      <c r="N22" s="190">
        <f t="shared" si="4"/>
        <v>-140250</v>
      </c>
      <c r="O22" s="190">
        <f t="shared" si="4"/>
        <v>-138250</v>
      </c>
      <c r="P22" s="190">
        <f t="shared" si="4"/>
        <v>-165055</v>
      </c>
      <c r="Q22" s="190">
        <f t="shared" si="4"/>
        <v>53140</v>
      </c>
      <c r="R22" s="190">
        <f t="shared" si="4"/>
        <v>316310</v>
      </c>
      <c r="S22" s="190">
        <f t="shared" si="4"/>
        <v>-573350</v>
      </c>
      <c r="T22" s="190">
        <f t="shared" si="4"/>
        <v>345580</v>
      </c>
      <c r="U22" s="190">
        <f t="shared" si="4"/>
        <v>353040</v>
      </c>
      <c r="V22" s="190">
        <f t="shared" si="4"/>
        <v>500990</v>
      </c>
      <c r="W22" s="191">
        <f t="shared" si="3"/>
        <v>-951395</v>
      </c>
      <c r="Y22" s="187" t="s">
        <v>212</v>
      </c>
      <c r="Z22" s="1"/>
      <c r="AA22" s="1"/>
      <c r="AB22" s="196">
        <f>SUMIFS(J22:V22,$J$6:$V$6,1)</f>
        <v>-91085</v>
      </c>
    </row>
    <row r="23" spans="3:28" s="7" customFormat="1" ht="6" customHeight="1" x14ac:dyDescent="0.25">
      <c r="C23" s="184"/>
      <c r="D23" s="1"/>
      <c r="E23" s="1"/>
      <c r="F23" s="1"/>
      <c r="G23" s="1"/>
      <c r="H23" s="1"/>
      <c r="I23" s="1"/>
      <c r="J23" s="159"/>
      <c r="K23" s="159"/>
      <c r="L23" s="159"/>
      <c r="M23" s="159"/>
      <c r="N23" s="159"/>
      <c r="O23" s="159"/>
      <c r="P23" s="159"/>
      <c r="Q23" s="159"/>
      <c r="R23" s="159"/>
      <c r="S23" s="159"/>
      <c r="T23" s="159"/>
      <c r="U23" s="159"/>
      <c r="V23" s="159"/>
      <c r="W23" s="160"/>
      <c r="Y23" s="184"/>
      <c r="Z23" s="1"/>
      <c r="AA23" s="1"/>
      <c r="AB23" s="194"/>
    </row>
    <row r="24" spans="3:28" s="7" customFormat="1" x14ac:dyDescent="0.25">
      <c r="C24" s="188" t="s">
        <v>213</v>
      </c>
      <c r="D24" s="1"/>
      <c r="E24" s="1"/>
      <c r="F24" s="1"/>
      <c r="G24" s="1"/>
      <c r="H24" s="1"/>
      <c r="I24" s="1"/>
      <c r="J24" s="159"/>
      <c r="K24" s="159"/>
      <c r="L24" s="159"/>
      <c r="M24" s="159"/>
      <c r="N24" s="159"/>
      <c r="O24" s="159"/>
      <c r="P24" s="159"/>
      <c r="Q24" s="159"/>
      <c r="R24" s="159"/>
      <c r="S24" s="159"/>
      <c r="T24" s="159"/>
      <c r="U24" s="159"/>
      <c r="V24" s="159"/>
      <c r="W24" s="160">
        <f t="shared" si="3"/>
        <v>0</v>
      </c>
      <c r="Y24" s="188" t="s">
        <v>213</v>
      </c>
      <c r="Z24" s="1"/>
      <c r="AA24" s="1"/>
      <c r="AB24" s="194"/>
    </row>
    <row r="25" spans="3:28" s="7" customFormat="1" ht="0.75" hidden="1" customHeight="1" x14ac:dyDescent="0.25">
      <c r="C25" s="188"/>
      <c r="D25" s="1"/>
      <c r="E25" s="1"/>
      <c r="F25" s="1"/>
      <c r="G25" s="1"/>
      <c r="H25" s="1"/>
      <c r="I25" s="1"/>
      <c r="J25" s="159"/>
      <c r="K25" s="159"/>
      <c r="L25" s="159"/>
      <c r="M25" s="159"/>
      <c r="N25" s="159"/>
      <c r="O25" s="159"/>
      <c r="P25" s="159"/>
      <c r="Q25" s="159"/>
      <c r="R25" s="159"/>
      <c r="S25" s="159"/>
      <c r="T25" s="159"/>
      <c r="U25" s="159"/>
      <c r="V25" s="159"/>
      <c r="W25" s="160"/>
      <c r="Y25" s="188"/>
      <c r="Z25" s="1"/>
      <c r="AA25" s="1"/>
      <c r="AB25" s="194"/>
    </row>
    <row r="26" spans="3:28" s="7" customFormat="1" ht="4.5" hidden="1" customHeight="1" x14ac:dyDescent="0.25">
      <c r="C26" s="188"/>
      <c r="D26" s="1"/>
      <c r="E26" s="1"/>
      <c r="F26" s="1"/>
      <c r="G26" s="1"/>
      <c r="H26" s="1"/>
      <c r="I26" s="1"/>
      <c r="J26" s="159">
        <f t="array" ref="J26:V26">TRANSPOSE(הנחות!S61:S73)</f>
        <v>0</v>
      </c>
      <c r="K26" s="159">
        <v>0</v>
      </c>
      <c r="L26" s="159">
        <v>0</v>
      </c>
      <c r="M26" s="159">
        <v>0</v>
      </c>
      <c r="N26" s="159">
        <v>0</v>
      </c>
      <c r="O26" s="159">
        <v>0</v>
      </c>
      <c r="P26" s="159">
        <v>0</v>
      </c>
      <c r="Q26" s="159">
        <v>0</v>
      </c>
      <c r="R26" s="159">
        <v>0</v>
      </c>
      <c r="S26" s="159">
        <v>0</v>
      </c>
      <c r="T26" s="159">
        <v>0</v>
      </c>
      <c r="U26" s="159">
        <v>0</v>
      </c>
      <c r="V26" s="159">
        <v>0</v>
      </c>
      <c r="W26" s="160"/>
      <c r="Y26" s="188"/>
      <c r="Z26" s="1"/>
      <c r="AA26" s="1"/>
      <c r="AB26" s="194"/>
    </row>
    <row r="27" spans="3:28" s="7" customFormat="1" x14ac:dyDescent="0.25">
      <c r="C27" s="192" t="s">
        <v>214</v>
      </c>
      <c r="D27" s="1"/>
      <c r="E27" s="1"/>
      <c r="F27" s="1"/>
      <c r="G27" s="1"/>
      <c r="H27" s="1"/>
      <c r="I27" s="1"/>
      <c r="J27" s="159">
        <f t="shared" ref="J27:V27" si="5">-J26*IF(J4="YES",1,0)</f>
        <v>0</v>
      </c>
      <c r="K27" s="159">
        <f t="shared" si="5"/>
        <v>0</v>
      </c>
      <c r="L27" s="159">
        <f t="shared" si="5"/>
        <v>0</v>
      </c>
      <c r="M27" s="159">
        <f t="shared" si="5"/>
        <v>0</v>
      </c>
      <c r="N27" s="159">
        <f t="shared" si="5"/>
        <v>0</v>
      </c>
      <c r="O27" s="159">
        <f t="shared" si="5"/>
        <v>0</v>
      </c>
      <c r="P27" s="159">
        <f t="shared" si="5"/>
        <v>0</v>
      </c>
      <c r="Q27" s="159">
        <f t="shared" si="5"/>
        <v>0</v>
      </c>
      <c r="R27" s="159">
        <f t="shared" si="5"/>
        <v>0</v>
      </c>
      <c r="S27" s="159">
        <f t="shared" si="5"/>
        <v>0</v>
      </c>
      <c r="T27" s="159">
        <f t="shared" si="5"/>
        <v>0</v>
      </c>
      <c r="U27" s="159">
        <f t="shared" si="5"/>
        <v>0</v>
      </c>
      <c r="V27" s="159">
        <f t="shared" si="5"/>
        <v>0</v>
      </c>
      <c r="W27" s="160">
        <f t="shared" si="3"/>
        <v>0</v>
      </c>
      <c r="Y27" s="192" t="s">
        <v>214</v>
      </c>
      <c r="Z27" s="1"/>
      <c r="AA27" s="1"/>
      <c r="AB27" s="194">
        <f>SUMIFS(J27:V27,$J$6:$V$6,1)</f>
        <v>0</v>
      </c>
    </row>
    <row r="28" spans="3:28" s="7" customFormat="1" ht="6" customHeight="1" x14ac:dyDescent="0.25">
      <c r="C28" s="192"/>
      <c r="D28" s="1"/>
      <c r="E28" s="1"/>
      <c r="F28" s="1"/>
      <c r="G28" s="1"/>
      <c r="H28" s="1"/>
      <c r="I28" s="1"/>
      <c r="J28" s="159"/>
      <c r="K28" s="159"/>
      <c r="L28" s="159"/>
      <c r="M28" s="159"/>
      <c r="N28" s="159"/>
      <c r="O28" s="159"/>
      <c r="P28" s="159"/>
      <c r="Q28" s="159"/>
      <c r="R28" s="159"/>
      <c r="S28" s="159"/>
      <c r="T28" s="159"/>
      <c r="U28" s="159"/>
      <c r="V28" s="159"/>
      <c r="W28" s="160"/>
      <c r="Y28" s="192"/>
      <c r="Z28" s="1"/>
      <c r="AA28" s="1"/>
      <c r="AB28" s="194"/>
    </row>
    <row r="29" spans="3:28" s="7" customFormat="1" x14ac:dyDescent="0.25">
      <c r="C29" s="187" t="s">
        <v>215</v>
      </c>
      <c r="D29" s="1"/>
      <c r="E29" s="1"/>
      <c r="F29" s="1"/>
      <c r="G29" s="1"/>
      <c r="H29" s="1"/>
      <c r="I29" s="1"/>
      <c r="J29" s="190">
        <f>SUM(J27)</f>
        <v>0</v>
      </c>
      <c r="K29" s="190">
        <f t="shared" ref="K29:V29" si="6">SUM(K27)</f>
        <v>0</v>
      </c>
      <c r="L29" s="190">
        <f t="shared" si="6"/>
        <v>0</v>
      </c>
      <c r="M29" s="190">
        <f t="shared" si="6"/>
        <v>0</v>
      </c>
      <c r="N29" s="190">
        <f t="shared" si="6"/>
        <v>0</v>
      </c>
      <c r="O29" s="190">
        <f t="shared" si="6"/>
        <v>0</v>
      </c>
      <c r="P29" s="190">
        <f t="shared" si="6"/>
        <v>0</v>
      </c>
      <c r="Q29" s="190">
        <f t="shared" si="6"/>
        <v>0</v>
      </c>
      <c r="R29" s="190">
        <f t="shared" si="6"/>
        <v>0</v>
      </c>
      <c r="S29" s="190">
        <f t="shared" si="6"/>
        <v>0</v>
      </c>
      <c r="T29" s="190">
        <f t="shared" si="6"/>
        <v>0</v>
      </c>
      <c r="U29" s="190">
        <f t="shared" si="6"/>
        <v>0</v>
      </c>
      <c r="V29" s="190">
        <f t="shared" si="6"/>
        <v>0</v>
      </c>
      <c r="W29" s="191">
        <f t="shared" si="3"/>
        <v>0</v>
      </c>
      <c r="Y29" s="187" t="s">
        <v>215</v>
      </c>
      <c r="Z29" s="1"/>
      <c r="AA29" s="1"/>
      <c r="AB29" s="196">
        <f>SUMIFS(J29:V29,$J$6:$V$6,1)</f>
        <v>0</v>
      </c>
    </row>
    <row r="30" spans="3:28" s="7" customFormat="1" ht="6" customHeight="1" x14ac:dyDescent="0.25">
      <c r="C30" s="188"/>
      <c r="D30" s="1"/>
      <c r="E30" s="1"/>
      <c r="F30" s="1"/>
      <c r="G30" s="1"/>
      <c r="H30" s="1"/>
      <c r="I30" s="1"/>
      <c r="J30" s="159"/>
      <c r="K30" s="159"/>
      <c r="L30" s="159"/>
      <c r="M30" s="159"/>
      <c r="N30" s="159"/>
      <c r="O30" s="159"/>
      <c r="P30" s="159"/>
      <c r="Q30" s="159"/>
      <c r="R30" s="159"/>
      <c r="S30" s="159"/>
      <c r="T30" s="159"/>
      <c r="U30" s="159"/>
      <c r="V30" s="159"/>
      <c r="W30" s="160"/>
      <c r="Y30" s="188"/>
      <c r="Z30" s="1"/>
      <c r="AA30" s="1"/>
      <c r="AB30" s="194"/>
    </row>
    <row r="31" spans="3:28" s="7" customFormat="1" x14ac:dyDescent="0.25">
      <c r="C31" s="188" t="s">
        <v>216</v>
      </c>
      <c r="D31" s="1"/>
      <c r="E31" s="1"/>
      <c r="F31" s="1"/>
      <c r="G31" s="1"/>
      <c r="H31" s="1"/>
      <c r="I31" s="1"/>
      <c r="J31" s="159"/>
      <c r="K31" s="159"/>
      <c r="L31" s="159"/>
      <c r="M31" s="159"/>
      <c r="N31" s="159"/>
      <c r="O31" s="159"/>
      <c r="P31" s="159"/>
      <c r="Q31" s="159"/>
      <c r="R31" s="159"/>
      <c r="S31" s="159"/>
      <c r="T31" s="159"/>
      <c r="U31" s="159"/>
      <c r="V31" s="159"/>
      <c r="W31" s="160"/>
      <c r="Y31" s="188" t="s">
        <v>216</v>
      </c>
      <c r="Z31" s="1"/>
      <c r="AA31" s="1"/>
      <c r="AB31" s="194"/>
    </row>
    <row r="32" spans="3:28" s="7" customFormat="1" ht="6" customHeight="1" x14ac:dyDescent="0.25">
      <c r="C32" s="184"/>
      <c r="D32" s="1"/>
      <c r="E32" s="1"/>
      <c r="F32" s="1"/>
      <c r="G32" s="1"/>
      <c r="H32" s="1"/>
      <c r="I32" s="1"/>
      <c r="J32" s="159"/>
      <c r="K32" s="159"/>
      <c r="L32" s="159"/>
      <c r="M32" s="159"/>
      <c r="N32" s="159"/>
      <c r="O32" s="159"/>
      <c r="P32" s="159"/>
      <c r="Q32" s="159"/>
      <c r="R32" s="159"/>
      <c r="S32" s="159"/>
      <c r="T32" s="159"/>
      <c r="U32" s="159"/>
      <c r="V32" s="159"/>
      <c r="W32" s="160"/>
      <c r="Y32" s="184"/>
      <c r="Z32" s="1"/>
      <c r="AA32" s="1"/>
      <c r="AB32" s="194"/>
    </row>
    <row r="33" spans="3:28" s="7" customFormat="1" x14ac:dyDescent="0.25">
      <c r="C33" s="184" t="s">
        <v>217</v>
      </c>
      <c r="D33" s="1"/>
      <c r="E33" s="1"/>
      <c r="F33" s="1"/>
      <c r="G33" s="1"/>
      <c r="H33" s="1"/>
      <c r="I33" s="1"/>
      <c r="J33" s="159">
        <f>'הלוואה והוצאות מימון'!J14</f>
        <v>0</v>
      </c>
      <c r="K33" s="159">
        <f>'הלוואה והוצאות מימון'!K14</f>
        <v>0</v>
      </c>
      <c r="L33" s="159">
        <f>'הלוואה והוצאות מימון'!L14</f>
        <v>0</v>
      </c>
      <c r="M33" s="159">
        <f>'הלוואה והוצאות מימון'!M14</f>
        <v>0</v>
      </c>
      <c r="N33" s="159">
        <f>'הלוואה והוצאות מימון'!N14</f>
        <v>0</v>
      </c>
      <c r="O33" s="159">
        <f>'הלוואה והוצאות מימון'!O14</f>
        <v>0</v>
      </c>
      <c r="P33" s="159">
        <f>'הלוואה והוצאות מימון'!P14</f>
        <v>0</v>
      </c>
      <c r="Q33" s="159">
        <f>'הלוואה והוצאות מימון'!Q14</f>
        <v>0</v>
      </c>
      <c r="R33" s="159">
        <f>'הלוואה והוצאות מימון'!R14</f>
        <v>0</v>
      </c>
      <c r="S33" s="159">
        <f>'הלוואה והוצאות מימון'!S14</f>
        <v>0</v>
      </c>
      <c r="T33" s="159">
        <f>'הלוואה והוצאות מימון'!T14</f>
        <v>0</v>
      </c>
      <c r="U33" s="159">
        <f>'הלוואה והוצאות מימון'!U14</f>
        <v>0</v>
      </c>
      <c r="V33" s="159">
        <f>'הלוואה והוצאות מימון'!V14</f>
        <v>0</v>
      </c>
      <c r="W33" s="160">
        <f t="shared" si="3"/>
        <v>0</v>
      </c>
      <c r="Y33" s="184" t="s">
        <v>217</v>
      </c>
      <c r="Z33" s="1"/>
      <c r="AA33" s="1"/>
      <c r="AB33" s="194">
        <f>SUMIFS(J33:V33,$J$6:$V$6,1)</f>
        <v>0</v>
      </c>
    </row>
    <row r="34" spans="3:28" s="7" customFormat="1" ht="6" customHeight="1" x14ac:dyDescent="0.25">
      <c r="C34" s="184"/>
      <c r="D34" s="1"/>
      <c r="E34" s="1"/>
      <c r="F34" s="1"/>
      <c r="G34" s="1"/>
      <c r="H34" s="1"/>
      <c r="I34" s="1"/>
      <c r="J34" s="159"/>
      <c r="K34" s="159"/>
      <c r="L34" s="159"/>
      <c r="M34" s="159"/>
      <c r="N34" s="159"/>
      <c r="O34" s="159"/>
      <c r="P34" s="159"/>
      <c r="Q34" s="159"/>
      <c r="R34" s="159"/>
      <c r="S34" s="159"/>
      <c r="T34" s="159"/>
      <c r="U34" s="159"/>
      <c r="V34" s="159"/>
      <c r="W34" s="160"/>
      <c r="Y34" s="184"/>
      <c r="Z34" s="1"/>
      <c r="AA34" s="1"/>
      <c r="AB34" s="194"/>
    </row>
    <row r="35" spans="3:28" s="7" customFormat="1" x14ac:dyDescent="0.25">
      <c r="C35" s="184" t="s">
        <v>218</v>
      </c>
      <c r="D35" s="1"/>
      <c r="E35" s="1"/>
      <c r="F35" s="1"/>
      <c r="G35" s="1"/>
      <c r="H35" s="1"/>
      <c r="I35" s="1"/>
      <c r="J35" s="159">
        <f>-'הלוואה והוצאות מימון'!J20</f>
        <v>-20000</v>
      </c>
      <c r="K35" s="159">
        <f>-'הלוואה והוצאות מימון'!K20</f>
        <v>-22000</v>
      </c>
      <c r="L35" s="159">
        <f>-'הלוואה והוצאות מימון'!L20</f>
        <v>-24000</v>
      </c>
      <c r="M35" s="159">
        <f>-'הלוואה והוצאות מימון'!M20</f>
        <v>-26000</v>
      </c>
      <c r="N35" s="159">
        <f>-'הלוואה והוצאות מימון'!N20</f>
        <v>-28000</v>
      </c>
      <c r="O35" s="159">
        <f>-'הלוואה והוצאות מימון'!O20</f>
        <v>-30000</v>
      </c>
      <c r="P35" s="159">
        <f>-'הלוואה והוצאות מימון'!P20</f>
        <v>-32000</v>
      </c>
      <c r="Q35" s="159">
        <f>-'הלוואה והוצאות מימון'!Q20</f>
        <v>-34000</v>
      </c>
      <c r="R35" s="159">
        <f>-'הלוואה והוצאות מימון'!R20</f>
        <v>-36000</v>
      </c>
      <c r="S35" s="159">
        <f>-'הלוואה והוצאות מימון'!S20</f>
        <v>-38000</v>
      </c>
      <c r="T35" s="159">
        <f>-'הלוואה והוצאות מימון'!T20</f>
        <v>-40000</v>
      </c>
      <c r="U35" s="159">
        <f>-'הלוואה והוצאות מימון'!U20</f>
        <v>-42000</v>
      </c>
      <c r="V35" s="159">
        <f>-'הלוואה והוצאות מימון'!V20</f>
        <v>-44000</v>
      </c>
      <c r="W35" s="160">
        <f t="shared" si="3"/>
        <v>-416000</v>
      </c>
      <c r="Y35" s="184" t="s">
        <v>218</v>
      </c>
      <c r="Z35" s="1"/>
      <c r="AA35" s="1"/>
      <c r="AB35" s="194">
        <f>SUMIFS(J35:V35,$J$6:$V$6,1)</f>
        <v>-306000</v>
      </c>
    </row>
    <row r="36" spans="3:28" s="7" customFormat="1" ht="6" customHeight="1" x14ac:dyDescent="0.25">
      <c r="C36" s="184"/>
      <c r="D36" s="1"/>
      <c r="E36" s="1"/>
      <c r="F36" s="1"/>
      <c r="G36" s="1"/>
      <c r="H36" s="1"/>
      <c r="I36" s="1"/>
      <c r="J36" s="159"/>
      <c r="K36" s="159"/>
      <c r="L36" s="159"/>
      <c r="M36" s="159"/>
      <c r="N36" s="159"/>
      <c r="O36" s="159"/>
      <c r="P36" s="159"/>
      <c r="Q36" s="159"/>
      <c r="R36" s="159"/>
      <c r="S36" s="159"/>
      <c r="T36" s="159"/>
      <c r="U36" s="159"/>
      <c r="V36" s="159"/>
      <c r="W36" s="160"/>
      <c r="Y36" s="184"/>
      <c r="Z36" s="1"/>
      <c r="AA36" s="1"/>
      <c r="AB36" s="194"/>
    </row>
    <row r="37" spans="3:28" s="7" customFormat="1" x14ac:dyDescent="0.25">
      <c r="C37" s="187" t="s">
        <v>219</v>
      </c>
      <c r="D37" s="1"/>
      <c r="E37" s="1"/>
      <c r="F37" s="1"/>
      <c r="G37" s="1"/>
      <c r="H37" s="1"/>
      <c r="I37" s="1"/>
      <c r="J37" s="190">
        <f>SUM(J33,J35)</f>
        <v>-20000</v>
      </c>
      <c r="K37" s="190">
        <f t="shared" ref="K37:V37" si="7">SUM(K33,K35)</f>
        <v>-22000</v>
      </c>
      <c r="L37" s="190">
        <f t="shared" si="7"/>
        <v>-24000</v>
      </c>
      <c r="M37" s="190">
        <f t="shared" si="7"/>
        <v>-26000</v>
      </c>
      <c r="N37" s="190">
        <f t="shared" si="7"/>
        <v>-28000</v>
      </c>
      <c r="O37" s="190">
        <f t="shared" si="7"/>
        <v>-30000</v>
      </c>
      <c r="P37" s="190">
        <f t="shared" si="7"/>
        <v>-32000</v>
      </c>
      <c r="Q37" s="190">
        <f t="shared" si="7"/>
        <v>-34000</v>
      </c>
      <c r="R37" s="190">
        <f t="shared" si="7"/>
        <v>-36000</v>
      </c>
      <c r="S37" s="190">
        <f t="shared" si="7"/>
        <v>-38000</v>
      </c>
      <c r="T37" s="190">
        <f t="shared" si="7"/>
        <v>-40000</v>
      </c>
      <c r="U37" s="190">
        <f t="shared" si="7"/>
        <v>-42000</v>
      </c>
      <c r="V37" s="190">
        <f t="shared" si="7"/>
        <v>-44000</v>
      </c>
      <c r="W37" s="191">
        <f t="shared" si="3"/>
        <v>-416000</v>
      </c>
      <c r="Y37" s="187" t="s">
        <v>219</v>
      </c>
      <c r="Z37" s="1"/>
      <c r="AA37" s="1"/>
      <c r="AB37" s="196">
        <f>SUMIFS(J37:V37,$J$6:$V$6,1)</f>
        <v>-306000</v>
      </c>
    </row>
    <row r="38" spans="3:28" s="7" customFormat="1" x14ac:dyDescent="0.25">
      <c r="C38" s="184"/>
      <c r="D38" s="1"/>
      <c r="E38" s="1"/>
      <c r="F38" s="1"/>
      <c r="G38" s="1"/>
      <c r="H38" s="1"/>
      <c r="I38" s="1"/>
      <c r="J38" s="159"/>
      <c r="K38" s="159"/>
      <c r="L38" s="159"/>
      <c r="M38" s="159"/>
      <c r="N38" s="159"/>
      <c r="O38" s="159"/>
      <c r="P38" s="159"/>
      <c r="Q38" s="159"/>
      <c r="R38" s="159"/>
      <c r="S38" s="159"/>
      <c r="T38" s="159"/>
      <c r="U38" s="159"/>
      <c r="V38" s="159"/>
      <c r="W38" s="160"/>
      <c r="Y38" s="184"/>
      <c r="Z38" s="1"/>
      <c r="AA38" s="1"/>
      <c r="AB38" s="194"/>
    </row>
    <row r="39" spans="3:28" s="7" customFormat="1" x14ac:dyDescent="0.25">
      <c r="C39" s="187" t="s">
        <v>220</v>
      </c>
      <c r="D39" s="1"/>
      <c r="E39" s="1"/>
      <c r="F39" s="1"/>
      <c r="G39" s="1"/>
      <c r="H39" s="1"/>
      <c r="I39" s="1"/>
      <c r="J39" s="185">
        <f t="shared" ref="J39:V39" si="8">SUM(J22,J29,J37)</f>
        <v>-1242025</v>
      </c>
      <c r="K39" s="185">
        <f t="shared" si="8"/>
        <v>-17025</v>
      </c>
      <c r="L39" s="185">
        <f t="shared" si="8"/>
        <v>-168250</v>
      </c>
      <c r="M39" s="185">
        <f t="shared" si="8"/>
        <v>-168250</v>
      </c>
      <c r="N39" s="185">
        <f t="shared" si="8"/>
        <v>-168250</v>
      </c>
      <c r="O39" s="185">
        <f t="shared" si="8"/>
        <v>-168250</v>
      </c>
      <c r="P39" s="185">
        <f t="shared" si="8"/>
        <v>-197055</v>
      </c>
      <c r="Q39" s="185">
        <f t="shared" si="8"/>
        <v>19140</v>
      </c>
      <c r="R39" s="185">
        <f t="shared" si="8"/>
        <v>280310</v>
      </c>
      <c r="S39" s="185">
        <f t="shared" si="8"/>
        <v>-611350</v>
      </c>
      <c r="T39" s="185">
        <f t="shared" si="8"/>
        <v>305580</v>
      </c>
      <c r="U39" s="185">
        <f t="shared" si="8"/>
        <v>311040</v>
      </c>
      <c r="V39" s="185">
        <f t="shared" si="8"/>
        <v>456990</v>
      </c>
      <c r="W39" s="186">
        <f>SUM(J39:V39)</f>
        <v>-1367395</v>
      </c>
      <c r="Y39" s="187" t="s">
        <v>220</v>
      </c>
      <c r="Z39" s="1"/>
      <c r="AA39" s="1"/>
      <c r="AB39" s="193">
        <f>SUMIFS(J39:V39,$J$6:$V$6,1)</f>
        <v>-397085</v>
      </c>
    </row>
    <row r="40" spans="3:28" s="7" customFormat="1" ht="3.75" customHeight="1" x14ac:dyDescent="0.25">
      <c r="C40" s="184"/>
      <c r="D40" s="1"/>
      <c r="E40" s="1"/>
      <c r="F40" s="1"/>
      <c r="G40" s="1"/>
      <c r="H40" s="1"/>
      <c r="I40" s="1"/>
      <c r="J40" s="159"/>
      <c r="K40" s="159"/>
      <c r="L40" s="159"/>
      <c r="M40" s="159"/>
      <c r="N40" s="159"/>
      <c r="O40" s="159"/>
      <c r="P40" s="159"/>
      <c r="Q40" s="159"/>
      <c r="R40" s="159"/>
      <c r="S40" s="159"/>
      <c r="T40" s="159"/>
      <c r="U40" s="159"/>
      <c r="V40" s="159"/>
      <c r="W40" s="160"/>
      <c r="Y40" s="10"/>
      <c r="Z40" s="1"/>
      <c r="AA40" s="1"/>
      <c r="AB40" s="157"/>
    </row>
    <row r="41" spans="3:28" s="7" customFormat="1" ht="15.75" thickBot="1" x14ac:dyDescent="0.3">
      <c r="C41" s="198"/>
      <c r="D41" s="2"/>
      <c r="E41" s="2"/>
      <c r="F41" s="2"/>
      <c r="G41" s="2"/>
      <c r="H41" s="2"/>
      <c r="I41" s="2"/>
      <c r="J41" s="2"/>
      <c r="K41" s="2"/>
      <c r="L41" s="2"/>
      <c r="M41" s="2"/>
      <c r="N41" s="2"/>
      <c r="O41" s="2"/>
      <c r="P41" s="2"/>
      <c r="Q41" s="2"/>
      <c r="R41" s="2"/>
      <c r="S41" s="2"/>
      <c r="T41" s="2"/>
      <c r="U41" s="2"/>
      <c r="V41" s="2"/>
      <c r="W41" s="297">
        <f>AVERAGE(J39:V39)</f>
        <v>-105184.23076923077</v>
      </c>
      <c r="Y41" s="11"/>
      <c r="Z41" s="2"/>
      <c r="AA41" s="2"/>
      <c r="AB41" s="197"/>
    </row>
    <row r="42" spans="3:28" x14ac:dyDescent="0.25">
      <c r="C42" s="7"/>
      <c r="D42" s="7"/>
      <c r="E42" s="7"/>
      <c r="F42" s="7"/>
      <c r="G42" s="7"/>
      <c r="H42" s="7"/>
      <c r="I42" s="7"/>
      <c r="J42" s="296"/>
      <c r="K42" s="296"/>
      <c r="L42" s="296"/>
      <c r="M42" s="296"/>
      <c r="N42" s="296"/>
      <c r="O42" s="296"/>
      <c r="P42" s="296"/>
      <c r="Q42" s="296"/>
      <c r="R42" s="296"/>
      <c r="S42" s="296"/>
      <c r="T42" s="296"/>
      <c r="U42" s="296"/>
      <c r="V42" s="296"/>
      <c r="W42" s="259"/>
      <c r="X42" s="7"/>
    </row>
    <row r="43" spans="3:28" s="200" customFormat="1" ht="16.5" thickBot="1" x14ac:dyDescent="0.3">
      <c r="L43" s="204"/>
      <c r="X43" s="7"/>
    </row>
    <row r="44" spans="3:28" s="200" customFormat="1" ht="15.75" x14ac:dyDescent="0.25">
      <c r="C44" s="22" t="s">
        <v>19</v>
      </c>
      <c r="D44" s="34"/>
      <c r="E44" s="34"/>
      <c r="F44" s="34"/>
      <c r="G44" s="34"/>
      <c r="H44" s="34"/>
      <c r="I44" s="34"/>
      <c r="J44" s="34">
        <f>הנחות!F6</f>
        <v>43983</v>
      </c>
      <c r="K44" s="34">
        <f>EDATE(J44,1)</f>
        <v>44013</v>
      </c>
      <c r="L44" s="34">
        <f t="shared" ref="L44:V44" si="9">EDATE(K44,1)</f>
        <v>44044</v>
      </c>
      <c r="M44" s="34">
        <f t="shared" si="9"/>
        <v>44075</v>
      </c>
      <c r="N44" s="34">
        <f t="shared" si="9"/>
        <v>44105</v>
      </c>
      <c r="O44" s="34">
        <f t="shared" si="9"/>
        <v>44136</v>
      </c>
      <c r="P44" s="34">
        <f t="shared" si="9"/>
        <v>44166</v>
      </c>
      <c r="Q44" s="34">
        <f t="shared" si="9"/>
        <v>44197</v>
      </c>
      <c r="R44" s="34">
        <f t="shared" si="9"/>
        <v>44228</v>
      </c>
      <c r="S44" s="34">
        <f t="shared" si="9"/>
        <v>44256</v>
      </c>
      <c r="T44" s="34">
        <f t="shared" si="9"/>
        <v>44287</v>
      </c>
      <c r="U44" s="34">
        <f t="shared" si="9"/>
        <v>44317</v>
      </c>
      <c r="V44" s="34">
        <f t="shared" si="9"/>
        <v>44348</v>
      </c>
      <c r="W44" s="20"/>
      <c r="X44" s="7"/>
    </row>
    <row r="45" spans="3:28" s="200" customFormat="1" ht="16.5" thickBot="1" x14ac:dyDescent="0.3">
      <c r="C45" s="24"/>
      <c r="D45" s="206"/>
      <c r="E45" s="206"/>
      <c r="F45" s="206"/>
      <c r="G45" s="206"/>
      <c r="H45" s="206"/>
      <c r="I45" s="206"/>
      <c r="J45" s="206"/>
      <c r="K45" s="206"/>
      <c r="L45" s="206"/>
      <c r="M45" s="206"/>
      <c r="N45" s="206"/>
      <c r="O45" s="206"/>
      <c r="P45" s="206"/>
      <c r="Q45" s="206"/>
      <c r="R45" s="206"/>
      <c r="S45" s="206"/>
      <c r="T45" s="206"/>
      <c r="U45" s="206"/>
      <c r="V45" s="206"/>
      <c r="W45" s="232"/>
      <c r="X45" s="7"/>
    </row>
    <row r="46" spans="3:28" s="200" customFormat="1" ht="16.5" thickBot="1" x14ac:dyDescent="0.3">
      <c r="C46" s="24" t="s">
        <v>252</v>
      </c>
      <c r="D46" s="206"/>
      <c r="E46" s="246">
        <f>הנחות!F8</f>
        <v>1000000</v>
      </c>
      <c r="F46" s="206"/>
      <c r="H46" s="237"/>
      <c r="I46" s="237"/>
      <c r="J46" s="237">
        <f>E46</f>
        <v>1000000</v>
      </c>
      <c r="K46" s="237">
        <f>J50</f>
        <v>-242025</v>
      </c>
      <c r="L46" s="237">
        <f t="shared" ref="L46:V46" si="10">K50</f>
        <v>-259050</v>
      </c>
      <c r="M46" s="237">
        <f t="shared" si="10"/>
        <v>-427300</v>
      </c>
      <c r="N46" s="237">
        <f t="shared" si="10"/>
        <v>-595550</v>
      </c>
      <c r="O46" s="237">
        <f t="shared" si="10"/>
        <v>-763800</v>
      </c>
      <c r="P46" s="237">
        <f t="shared" si="10"/>
        <v>-932050</v>
      </c>
      <c r="Q46" s="237">
        <f t="shared" si="10"/>
        <v>-1129105</v>
      </c>
      <c r="R46" s="237">
        <f t="shared" si="10"/>
        <v>-1109965</v>
      </c>
      <c r="S46" s="237">
        <f t="shared" si="10"/>
        <v>-829655</v>
      </c>
      <c r="T46" s="237">
        <f t="shared" si="10"/>
        <v>-1441005</v>
      </c>
      <c r="U46" s="237">
        <f t="shared" si="10"/>
        <v>-1135425</v>
      </c>
      <c r="V46" s="237">
        <f t="shared" si="10"/>
        <v>-824385</v>
      </c>
      <c r="W46" s="232"/>
      <c r="X46" s="7"/>
    </row>
    <row r="47" spans="3:28" s="200" customFormat="1" ht="6" customHeight="1" x14ac:dyDescent="0.25">
      <c r="C47" s="24"/>
      <c r="D47" s="206"/>
      <c r="E47" s="206"/>
      <c r="F47" s="206"/>
      <c r="G47" s="237"/>
      <c r="H47" s="237"/>
      <c r="I47" s="237"/>
      <c r="J47" s="237"/>
      <c r="K47" s="237"/>
      <c r="L47" s="237"/>
      <c r="M47" s="237"/>
      <c r="N47" s="237"/>
      <c r="O47" s="237"/>
      <c r="P47" s="237"/>
      <c r="Q47" s="237"/>
      <c r="R47" s="237"/>
      <c r="S47" s="237"/>
      <c r="T47" s="237"/>
      <c r="U47" s="237"/>
      <c r="V47" s="237"/>
      <c r="W47" s="232"/>
      <c r="X47" s="7"/>
    </row>
    <row r="48" spans="3:28" s="200" customFormat="1" ht="15.75" x14ac:dyDescent="0.25">
      <c r="C48" s="24" t="s">
        <v>21</v>
      </c>
      <c r="D48" s="206"/>
      <c r="E48" s="206"/>
      <c r="F48" s="206"/>
      <c r="G48" s="237"/>
      <c r="H48" s="237"/>
      <c r="I48" s="237"/>
      <c r="J48" s="237">
        <f>J39</f>
        <v>-1242025</v>
      </c>
      <c r="K48" s="237">
        <f t="shared" ref="K48:V48" si="11">K39</f>
        <v>-17025</v>
      </c>
      <c r="L48" s="237">
        <f t="shared" si="11"/>
        <v>-168250</v>
      </c>
      <c r="M48" s="237">
        <f t="shared" si="11"/>
        <v>-168250</v>
      </c>
      <c r="N48" s="237">
        <f t="shared" si="11"/>
        <v>-168250</v>
      </c>
      <c r="O48" s="237">
        <f t="shared" si="11"/>
        <v>-168250</v>
      </c>
      <c r="P48" s="237">
        <f t="shared" si="11"/>
        <v>-197055</v>
      </c>
      <c r="Q48" s="237">
        <f t="shared" si="11"/>
        <v>19140</v>
      </c>
      <c r="R48" s="237">
        <f t="shared" si="11"/>
        <v>280310</v>
      </c>
      <c r="S48" s="237">
        <f t="shared" si="11"/>
        <v>-611350</v>
      </c>
      <c r="T48" s="237">
        <f t="shared" si="11"/>
        <v>305580</v>
      </c>
      <c r="U48" s="237">
        <f t="shared" si="11"/>
        <v>311040</v>
      </c>
      <c r="V48" s="237">
        <f t="shared" si="11"/>
        <v>456990</v>
      </c>
      <c r="W48" s="232"/>
      <c r="X48" s="7"/>
    </row>
    <row r="49" spans="3:24" s="200" customFormat="1" ht="6" customHeight="1" x14ac:dyDescent="0.25">
      <c r="C49" s="24"/>
      <c r="D49" s="206"/>
      <c r="E49" s="206"/>
      <c r="F49" s="206"/>
      <c r="G49" s="237"/>
      <c r="H49" s="237"/>
      <c r="I49" s="237"/>
      <c r="J49" s="237"/>
      <c r="K49" s="237"/>
      <c r="L49" s="237"/>
      <c r="M49" s="237"/>
      <c r="N49" s="237"/>
      <c r="O49" s="237"/>
      <c r="P49" s="237"/>
      <c r="Q49" s="237"/>
      <c r="R49" s="237"/>
      <c r="S49" s="237"/>
      <c r="T49" s="237"/>
      <c r="U49" s="237"/>
      <c r="V49" s="237"/>
      <c r="W49" s="232"/>
      <c r="X49" s="7"/>
    </row>
    <row r="50" spans="3:24" s="200" customFormat="1" ht="15.75" x14ac:dyDescent="0.25">
      <c r="C50" s="24" t="s">
        <v>253</v>
      </c>
      <c r="D50" s="206"/>
      <c r="E50" s="206"/>
      <c r="F50" s="206"/>
      <c r="G50" s="237"/>
      <c r="H50" s="237"/>
      <c r="I50" s="237"/>
      <c r="J50" s="237">
        <f>SUM(J46,J48)</f>
        <v>-242025</v>
      </c>
      <c r="K50" s="237">
        <f t="shared" ref="K50:V50" si="12">SUM(K46,K48)</f>
        <v>-259050</v>
      </c>
      <c r="L50" s="237">
        <f t="shared" si="12"/>
        <v>-427300</v>
      </c>
      <c r="M50" s="237">
        <f t="shared" si="12"/>
        <v>-595550</v>
      </c>
      <c r="N50" s="237">
        <f t="shared" si="12"/>
        <v>-763800</v>
      </c>
      <c r="O50" s="237">
        <f t="shared" si="12"/>
        <v>-932050</v>
      </c>
      <c r="P50" s="237">
        <f t="shared" si="12"/>
        <v>-1129105</v>
      </c>
      <c r="Q50" s="237">
        <f t="shared" si="12"/>
        <v>-1109965</v>
      </c>
      <c r="R50" s="237">
        <f t="shared" si="12"/>
        <v>-829655</v>
      </c>
      <c r="S50" s="237">
        <f t="shared" si="12"/>
        <v>-1441005</v>
      </c>
      <c r="T50" s="237">
        <f t="shared" si="12"/>
        <v>-1135425</v>
      </c>
      <c r="U50" s="237">
        <f t="shared" si="12"/>
        <v>-824385</v>
      </c>
      <c r="V50" s="237">
        <f t="shared" si="12"/>
        <v>-367395</v>
      </c>
      <c r="W50" s="232"/>
      <c r="X50" s="7"/>
    </row>
    <row r="51" spans="3:24" s="200" customFormat="1" ht="16.5" thickBot="1" x14ac:dyDescent="0.3">
      <c r="C51" s="215"/>
      <c r="D51" s="212"/>
      <c r="E51" s="212"/>
      <c r="F51" s="212"/>
      <c r="G51" s="238"/>
      <c r="H51" s="238"/>
      <c r="I51" s="238"/>
      <c r="J51" s="238"/>
      <c r="K51" s="238"/>
      <c r="L51" s="238"/>
      <c r="M51" s="238"/>
      <c r="N51" s="238"/>
      <c r="O51" s="238"/>
      <c r="P51" s="238"/>
      <c r="Q51" s="238"/>
      <c r="R51" s="238"/>
      <c r="S51" s="238"/>
      <c r="T51" s="238"/>
      <c r="U51" s="238"/>
      <c r="V51" s="238"/>
      <c r="W51" s="218"/>
      <c r="X51" s="7"/>
    </row>
    <row r="52" spans="3:24" s="200" customFormat="1" ht="15.75" x14ac:dyDescent="0.25">
      <c r="X52" s="7"/>
    </row>
    <row r="53" spans="3:24" x14ac:dyDescent="0.25"/>
    <row r="54" spans="3:24" x14ac:dyDescent="0.25"/>
  </sheetData>
  <dataValidations disablePrompts="1" count="1">
    <dataValidation type="list" allowBlank="1" showInputMessage="1" showErrorMessage="1" sqref="AB4:AB5">
      <formula1>INDIRECT("חודשים")</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pageSetUpPr autoPageBreaks="0"/>
  </sheetPr>
  <dimension ref="A1:XFD77"/>
  <sheetViews>
    <sheetView showGridLines="0" rightToLeft="1" zoomScaleNormal="100" workbookViewId="0">
      <selection activeCell="C38" sqref="C38"/>
    </sheetView>
  </sheetViews>
  <sheetFormatPr defaultRowHeight="15" x14ac:dyDescent="0.25"/>
  <cols>
    <col min="1" max="1" width="4.28515625" customWidth="1"/>
    <col min="2" max="2" width="3.42578125" customWidth="1"/>
    <col min="3" max="3" width="94.7109375" customWidth="1"/>
    <col min="4" max="4" width="54.85546875" bestFit="1" customWidth="1"/>
  </cols>
  <sheetData>
    <row r="1" spans="2:4" ht="15.75" thickBot="1" x14ac:dyDescent="0.3"/>
    <row r="2" spans="2:4" x14ac:dyDescent="0.25">
      <c r="B2" s="304" t="s">
        <v>16</v>
      </c>
      <c r="C2" s="305"/>
      <c r="D2" s="306"/>
    </row>
    <row r="3" spans="2:4" s="7" customFormat="1" x14ac:dyDescent="0.25">
      <c r="B3" s="27" t="s">
        <v>8</v>
      </c>
      <c r="C3" s="28" t="s">
        <v>9</v>
      </c>
      <c r="D3" s="29" t="s">
        <v>10</v>
      </c>
    </row>
    <row r="4" spans="2:4" x14ac:dyDescent="0.25">
      <c r="B4" s="10"/>
      <c r="C4" s="15"/>
      <c r="D4" s="25"/>
    </row>
    <row r="5" spans="2:4" x14ac:dyDescent="0.25">
      <c r="B5" s="10"/>
      <c r="C5" s="15"/>
      <c r="D5" s="25"/>
    </row>
    <row r="6" spans="2:4" x14ac:dyDescent="0.25">
      <c r="B6" s="10"/>
      <c r="C6" s="15"/>
      <c r="D6" s="25"/>
    </row>
    <row r="7" spans="2:4" x14ac:dyDescent="0.25">
      <c r="B7" s="10"/>
      <c r="C7" s="15"/>
      <c r="D7" s="25"/>
    </row>
    <row r="8" spans="2:4" x14ac:dyDescent="0.25">
      <c r="B8" s="10"/>
      <c r="C8" s="15"/>
      <c r="D8" s="25"/>
    </row>
    <row r="9" spans="2:4" x14ac:dyDescent="0.25">
      <c r="B9" s="10"/>
      <c r="C9" s="15"/>
      <c r="D9" s="25"/>
    </row>
    <row r="10" spans="2:4" x14ac:dyDescent="0.25">
      <c r="B10" s="10"/>
      <c r="C10" s="15"/>
      <c r="D10" s="25"/>
    </row>
    <row r="11" spans="2:4" x14ac:dyDescent="0.25">
      <c r="B11" s="10"/>
      <c r="C11" s="15"/>
      <c r="D11" s="25"/>
    </row>
    <row r="12" spans="2:4" s="7" customFormat="1" x14ac:dyDescent="0.25">
      <c r="B12" s="10"/>
      <c r="C12" s="31"/>
      <c r="D12" s="25"/>
    </row>
    <row r="13" spans="2:4" x14ac:dyDescent="0.25">
      <c r="B13" s="10"/>
      <c r="C13" s="15"/>
      <c r="D13" s="25"/>
    </row>
    <row r="14" spans="2:4" x14ac:dyDescent="0.25">
      <c r="B14" s="10"/>
      <c r="C14" s="15"/>
      <c r="D14" s="25"/>
    </row>
    <row r="15" spans="2:4" x14ac:dyDescent="0.25">
      <c r="B15" s="10"/>
      <c r="C15" s="15"/>
      <c r="D15" s="25"/>
    </row>
    <row r="16" spans="2:4" x14ac:dyDescent="0.25">
      <c r="B16" s="10"/>
      <c r="C16" s="15"/>
      <c r="D16" s="25"/>
    </row>
    <row r="17" spans="2:4" x14ac:dyDescent="0.25">
      <c r="B17" s="10"/>
      <c r="C17" s="15"/>
      <c r="D17" s="25"/>
    </row>
    <row r="18" spans="2:4" x14ac:dyDescent="0.25">
      <c r="B18" s="10"/>
      <c r="C18" s="15"/>
      <c r="D18" s="25"/>
    </row>
    <row r="19" spans="2:4" x14ac:dyDescent="0.25">
      <c r="B19" s="10"/>
      <c r="C19" s="15"/>
      <c r="D19" s="25"/>
    </row>
    <row r="20" spans="2:4" x14ac:dyDescent="0.25">
      <c r="B20" s="10"/>
      <c r="C20" s="15"/>
      <c r="D20" s="25"/>
    </row>
    <row r="21" spans="2:4" ht="12" customHeight="1" x14ac:dyDescent="0.25">
      <c r="B21" s="10"/>
      <c r="C21" s="15"/>
      <c r="D21" s="25"/>
    </row>
    <row r="22" spans="2:4" x14ac:dyDescent="0.25">
      <c r="B22" s="10"/>
      <c r="C22" s="15"/>
      <c r="D22" s="25"/>
    </row>
    <row r="23" spans="2:4" x14ac:dyDescent="0.25">
      <c r="B23" s="10"/>
      <c r="C23" s="31"/>
      <c r="D23" s="25"/>
    </row>
    <row r="24" spans="2:4" x14ac:dyDescent="0.25">
      <c r="B24" s="10"/>
      <c r="C24" s="15"/>
      <c r="D24" s="25"/>
    </row>
    <row r="25" spans="2:4" x14ac:dyDescent="0.25">
      <c r="B25" s="10"/>
      <c r="C25" s="15"/>
      <c r="D25" s="25"/>
    </row>
    <row r="26" spans="2:4" x14ac:dyDescent="0.25">
      <c r="B26" s="10"/>
      <c r="C26" s="15"/>
      <c r="D26" s="25"/>
    </row>
    <row r="27" spans="2:4" x14ac:dyDescent="0.25">
      <c r="B27" s="10"/>
      <c r="C27" s="31"/>
      <c r="D27" s="25"/>
    </row>
    <row r="28" spans="2:4" x14ac:dyDescent="0.25">
      <c r="B28" s="10"/>
      <c r="C28" s="15"/>
      <c r="D28" s="25"/>
    </row>
    <row r="29" spans="2:4" x14ac:dyDescent="0.25">
      <c r="B29" s="10"/>
      <c r="C29" s="15"/>
      <c r="D29" s="25"/>
    </row>
    <row r="30" spans="2:4" x14ac:dyDescent="0.25">
      <c r="B30" s="10"/>
      <c r="C30" s="31"/>
      <c r="D30" s="25"/>
    </row>
    <row r="31" spans="2:4" x14ac:dyDescent="0.25">
      <c r="B31" s="10"/>
      <c r="C31" s="15"/>
      <c r="D31" s="25"/>
    </row>
    <row r="32" spans="2:4" x14ac:dyDescent="0.25">
      <c r="B32" s="10"/>
      <c r="C32" s="15"/>
      <c r="D32" s="25"/>
    </row>
    <row r="33" spans="2:4" x14ac:dyDescent="0.25">
      <c r="B33" s="10"/>
      <c r="C33" s="15"/>
      <c r="D33" s="25"/>
    </row>
    <row r="34" spans="2:4" x14ac:dyDescent="0.25">
      <c r="B34" s="10"/>
      <c r="C34" s="15"/>
      <c r="D34" s="25"/>
    </row>
    <row r="35" spans="2:4" x14ac:dyDescent="0.25">
      <c r="B35" s="10"/>
      <c r="C35" s="15"/>
      <c r="D35" s="25"/>
    </row>
    <row r="36" spans="2:4" x14ac:dyDescent="0.25">
      <c r="B36" s="10"/>
      <c r="C36" s="15"/>
      <c r="D36" s="25"/>
    </row>
    <row r="37" spans="2:4" x14ac:dyDescent="0.25">
      <c r="B37" s="10"/>
      <c r="C37" s="15"/>
      <c r="D37" s="25"/>
    </row>
    <row r="38" spans="2:4" x14ac:dyDescent="0.25">
      <c r="B38" s="10"/>
      <c r="C38" s="31"/>
      <c r="D38" s="25"/>
    </row>
    <row r="39" spans="2:4" x14ac:dyDescent="0.25">
      <c r="B39" s="10"/>
      <c r="C39" s="15"/>
      <c r="D39" s="25"/>
    </row>
    <row r="40" spans="2:4" x14ac:dyDescent="0.25">
      <c r="B40" s="10"/>
      <c r="C40" s="15"/>
      <c r="D40" s="25"/>
    </row>
    <row r="41" spans="2:4" x14ac:dyDescent="0.25">
      <c r="B41" s="10"/>
      <c r="C41" s="15"/>
      <c r="D41" s="25"/>
    </row>
    <row r="42" spans="2:4" x14ac:dyDescent="0.25">
      <c r="B42" s="10"/>
      <c r="C42" s="15"/>
      <c r="D42" s="25"/>
    </row>
    <row r="43" spans="2:4" x14ac:dyDescent="0.25">
      <c r="B43" s="10"/>
      <c r="C43" s="15"/>
      <c r="D43" s="25"/>
    </row>
    <row r="44" spans="2:4" x14ac:dyDescent="0.25">
      <c r="B44" s="10"/>
      <c r="C44" s="15"/>
      <c r="D44" s="25"/>
    </row>
    <row r="45" spans="2:4" x14ac:dyDescent="0.25">
      <c r="B45" s="10"/>
      <c r="C45" s="15"/>
      <c r="D45" s="25"/>
    </row>
    <row r="46" spans="2:4" x14ac:dyDescent="0.25">
      <c r="B46" s="10"/>
      <c r="C46" s="15"/>
      <c r="D46" s="25"/>
    </row>
    <row r="47" spans="2:4" x14ac:dyDescent="0.25">
      <c r="B47" s="10"/>
      <c r="C47" s="15"/>
      <c r="D47" s="25"/>
    </row>
    <row r="48" spans="2:4" x14ac:dyDescent="0.25">
      <c r="B48" s="10"/>
      <c r="C48" s="15"/>
      <c r="D48" s="25"/>
    </row>
    <row r="49" spans="2:4" x14ac:dyDescent="0.25">
      <c r="B49" s="10"/>
      <c r="C49" s="15"/>
      <c r="D49" s="25"/>
    </row>
    <row r="50" spans="2:4" x14ac:dyDescent="0.25">
      <c r="B50" s="10"/>
      <c r="C50" s="15"/>
      <c r="D50" s="25"/>
    </row>
    <row r="51" spans="2:4" x14ac:dyDescent="0.25">
      <c r="B51" s="10"/>
      <c r="C51" s="15"/>
      <c r="D51" s="25"/>
    </row>
    <row r="52" spans="2:4" x14ac:dyDescent="0.25">
      <c r="B52" s="10"/>
      <c r="C52" s="15"/>
      <c r="D52" s="25"/>
    </row>
    <row r="53" spans="2:4" x14ac:dyDescent="0.25">
      <c r="B53" s="10"/>
      <c r="C53" s="15"/>
      <c r="D53" s="25"/>
    </row>
    <row r="54" spans="2:4" x14ac:dyDescent="0.25">
      <c r="B54" s="10"/>
      <c r="C54" s="15"/>
      <c r="D54" s="25"/>
    </row>
    <row r="55" spans="2:4" s="7" customFormat="1" x14ac:dyDescent="0.25">
      <c r="B55" s="10"/>
      <c r="C55" s="31"/>
      <c r="D55" s="25"/>
    </row>
    <row r="56" spans="2:4" s="7" customFormat="1" x14ac:dyDescent="0.25">
      <c r="B56" s="10"/>
      <c r="C56" s="15"/>
      <c r="D56" s="25"/>
    </row>
    <row r="57" spans="2:4" s="7" customFormat="1" x14ac:dyDescent="0.25">
      <c r="B57" s="10"/>
      <c r="C57" s="15"/>
      <c r="D57" s="25"/>
    </row>
    <row r="58" spans="2:4" s="7" customFormat="1" x14ac:dyDescent="0.25">
      <c r="B58" s="10"/>
      <c r="C58" s="15"/>
      <c r="D58" s="25"/>
    </row>
    <row r="59" spans="2:4" s="7" customFormat="1" x14ac:dyDescent="0.25">
      <c r="B59" s="10"/>
      <c r="C59" s="15"/>
      <c r="D59" s="25"/>
    </row>
    <row r="60" spans="2:4" s="7" customFormat="1" x14ac:dyDescent="0.25">
      <c r="B60" s="10"/>
      <c r="C60" s="15"/>
      <c r="D60" s="25"/>
    </row>
    <row r="61" spans="2:4" s="7" customFormat="1" x14ac:dyDescent="0.25">
      <c r="B61" s="10"/>
      <c r="C61" s="15"/>
      <c r="D61" s="25"/>
    </row>
    <row r="62" spans="2:4" s="7" customFormat="1" x14ac:dyDescent="0.25">
      <c r="B62" s="10"/>
      <c r="C62" s="15"/>
      <c r="D62" s="25"/>
    </row>
    <row r="63" spans="2:4" s="7" customFormat="1" x14ac:dyDescent="0.25">
      <c r="B63" s="10"/>
      <c r="C63" s="15"/>
      <c r="D63" s="25"/>
    </row>
    <row r="64" spans="2:4" s="7" customFormat="1" x14ac:dyDescent="0.25">
      <c r="B64" s="10"/>
      <c r="C64" s="15"/>
      <c r="D64" s="25"/>
    </row>
    <row r="65" spans="1:16384" s="7" customFormat="1" x14ac:dyDescent="0.25">
      <c r="B65" s="10"/>
      <c r="C65" s="15"/>
      <c r="D65" s="25"/>
    </row>
    <row r="66" spans="1:16384" s="7" customFormat="1" x14ac:dyDescent="0.25">
      <c r="B66" s="10"/>
      <c r="C66" s="15"/>
      <c r="D66" s="25"/>
    </row>
    <row r="67" spans="1:16384" s="7" customFormat="1" x14ac:dyDescent="0.25">
      <c r="B67" s="10"/>
      <c r="C67" s="15"/>
      <c r="D67" s="25"/>
    </row>
    <row r="68" spans="1:16384" s="7" customFormat="1" x14ac:dyDescent="0.25">
      <c r="B68" s="10"/>
      <c r="C68" s="15"/>
      <c r="D68" s="25"/>
    </row>
    <row r="69" spans="1:16384" s="7" customFormat="1" x14ac:dyDescent="0.25">
      <c r="B69" s="10"/>
      <c r="C69" s="15"/>
      <c r="D69" s="25"/>
    </row>
    <row r="70" spans="1:16384" s="7" customFormat="1" x14ac:dyDescent="0.25">
      <c r="B70" s="10"/>
      <c r="C70" s="15"/>
      <c r="D70" s="25"/>
    </row>
    <row r="71" spans="1:16384" s="7" customFormat="1" x14ac:dyDescent="0.25">
      <c r="B71" s="10"/>
      <c r="C71" s="15"/>
      <c r="D71" s="25"/>
    </row>
    <row r="72" spans="1:16384" s="7" customFormat="1" x14ac:dyDescent="0.25">
      <c r="B72" s="10"/>
      <c r="C72" s="15"/>
      <c r="D72" s="25"/>
    </row>
    <row r="73" spans="1:16384" ht="15.75" thickBot="1" x14ac:dyDescent="0.3">
      <c r="B73" s="11"/>
      <c r="C73" s="2"/>
      <c r="D73" s="26"/>
    </row>
    <row r="75" spans="1:16384" s="14" customFormat="1" x14ac:dyDescent="0.25">
      <c r="B75" s="4"/>
      <c r="C75" s="4"/>
      <c r="D75" s="4"/>
      <c r="E75" s="4"/>
      <c r="F75" s="4"/>
      <c r="G75" s="4"/>
      <c r="H75" s="4"/>
      <c r="I75" s="4"/>
      <c r="J75" s="4"/>
      <c r="K75" s="4"/>
      <c r="L75" s="4"/>
      <c r="M75" s="4"/>
      <c r="N75" s="4"/>
      <c r="O75" s="4"/>
      <c r="P75" s="4"/>
      <c r="Q75" s="4"/>
    </row>
    <row r="76" spans="1:16384" s="14" customFormat="1" ht="3"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c r="XFC76" s="5"/>
      <c r="XFD76" s="5"/>
    </row>
    <row r="77" spans="1:16384" s="14" customFormat="1" x14ac:dyDescent="0.25">
      <c r="B77" s="4"/>
      <c r="C77" s="4"/>
      <c r="D77" s="4"/>
      <c r="E77" s="4"/>
      <c r="F77" s="4"/>
      <c r="G77" s="4"/>
      <c r="H77" s="4"/>
      <c r="I77" s="4"/>
      <c r="J77" s="4"/>
      <c r="K77" s="4"/>
      <c r="L77" s="4"/>
      <c r="M77" s="4"/>
      <c r="N77" s="4"/>
      <c r="O77" s="4"/>
      <c r="P77" s="4"/>
      <c r="Q77" s="4"/>
    </row>
  </sheetData>
  <mergeCells count="1">
    <mergeCell ref="B2:D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W74"/>
  <sheetViews>
    <sheetView showGridLines="0" rightToLeft="1" zoomScale="85" zoomScaleNormal="85" workbookViewId="0">
      <selection activeCell="L20" sqref="L20"/>
    </sheetView>
  </sheetViews>
  <sheetFormatPr defaultRowHeight="15" x14ac:dyDescent="0.25"/>
  <cols>
    <col min="1" max="2" width="4" style="7" customWidth="1"/>
    <col min="3" max="10" width="15.5703125" style="7" customWidth="1"/>
    <col min="11" max="23" width="13" style="7" customWidth="1"/>
    <col min="24" max="16384" width="9.140625" style="7"/>
  </cols>
  <sheetData>
    <row r="1" spans="3:23" ht="15.75" thickBot="1" x14ac:dyDescent="0.3"/>
    <row r="2" spans="3:23" ht="15.75" x14ac:dyDescent="0.25">
      <c r="C2" s="12" t="s">
        <v>115</v>
      </c>
      <c r="D2" s="34"/>
      <c r="E2" s="34"/>
      <c r="F2" s="34"/>
      <c r="G2" s="34"/>
      <c r="H2" s="34"/>
      <c r="I2" s="34"/>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20" t="s">
        <v>23</v>
      </c>
    </row>
    <row r="3" spans="3:23" ht="15.75" x14ac:dyDescent="0.25">
      <c r="C3" s="24" t="s">
        <v>62</v>
      </c>
      <c r="D3" s="40"/>
      <c r="E3" s="71">
        <f>Dashboard!D4</f>
        <v>43983</v>
      </c>
      <c r="F3" s="40"/>
      <c r="I3" s="40"/>
      <c r="J3" s="19">
        <f>IF(J2&gt;=$E$3,1,0)</f>
        <v>1</v>
      </c>
      <c r="K3" s="19">
        <f t="shared" ref="K3:V3" si="1">IF(K2&gt;=$E$3,1,0)</f>
        <v>1</v>
      </c>
      <c r="L3" s="19">
        <f t="shared" si="1"/>
        <v>1</v>
      </c>
      <c r="M3" s="19">
        <f t="shared" si="1"/>
        <v>1</v>
      </c>
      <c r="N3" s="19">
        <f t="shared" si="1"/>
        <v>1</v>
      </c>
      <c r="O3" s="19">
        <f t="shared" si="1"/>
        <v>1</v>
      </c>
      <c r="P3" s="19">
        <f t="shared" si="1"/>
        <v>1</v>
      </c>
      <c r="Q3" s="19">
        <f t="shared" si="1"/>
        <v>1</v>
      </c>
      <c r="R3" s="19">
        <f t="shared" si="1"/>
        <v>1</v>
      </c>
      <c r="S3" s="19">
        <f t="shared" si="1"/>
        <v>1</v>
      </c>
      <c r="T3" s="19">
        <f t="shared" si="1"/>
        <v>1</v>
      </c>
      <c r="U3" s="19">
        <f t="shared" si="1"/>
        <v>1</v>
      </c>
      <c r="V3" s="19">
        <f t="shared" si="1"/>
        <v>1</v>
      </c>
      <c r="W3" s="21"/>
    </row>
    <row r="4" spans="3:23" ht="16.5" thickBot="1" x14ac:dyDescent="0.3">
      <c r="C4" s="24" t="s">
        <v>46</v>
      </c>
      <c r="D4" s="40"/>
      <c r="F4" s="40"/>
      <c r="I4" s="40"/>
      <c r="J4" s="57">
        <f t="array" ref="J4:V4">TRANSPOSE(הנחות!J13:J25)</f>
        <v>0.5</v>
      </c>
      <c r="K4" s="57">
        <v>0.5</v>
      </c>
      <c r="L4" s="57">
        <v>0.5</v>
      </c>
      <c r="M4" s="57">
        <v>0.5</v>
      </c>
      <c r="N4" s="57">
        <v>0.5</v>
      </c>
      <c r="O4" s="57">
        <v>0.5</v>
      </c>
      <c r="P4" s="57">
        <v>0.6</v>
      </c>
      <c r="Q4" s="57">
        <v>0.7</v>
      </c>
      <c r="R4" s="57">
        <v>0.4</v>
      </c>
      <c r="S4" s="57">
        <v>0.7</v>
      </c>
      <c r="T4" s="57">
        <v>0.8</v>
      </c>
      <c r="U4" s="57">
        <v>0.9</v>
      </c>
      <c r="V4" s="57">
        <v>1</v>
      </c>
      <c r="W4" s="72">
        <f>SUM(J4:V4)/12</f>
        <v>0.67500000000000016</v>
      </c>
    </row>
    <row r="5" spans="3:23" ht="16.5" thickBot="1" x14ac:dyDescent="0.3">
      <c r="C5" s="24" t="s">
        <v>305</v>
      </c>
      <c r="D5" s="58">
        <f>הנחות!J6</f>
        <v>2500000</v>
      </c>
      <c r="E5" s="58">
        <f>D5*(1-E7)</f>
        <v>2500000</v>
      </c>
      <c r="I5" s="40"/>
      <c r="J5" s="19">
        <f t="shared" ref="J5:V5" si="2">J4*$D$5</f>
        <v>1250000</v>
      </c>
      <c r="K5" s="19">
        <f t="shared" si="2"/>
        <v>1250000</v>
      </c>
      <c r="L5" s="19">
        <f t="shared" si="2"/>
        <v>1250000</v>
      </c>
      <c r="M5" s="19">
        <f t="shared" si="2"/>
        <v>1250000</v>
      </c>
      <c r="N5" s="19">
        <f t="shared" si="2"/>
        <v>1250000</v>
      </c>
      <c r="O5" s="19">
        <f t="shared" si="2"/>
        <v>1250000</v>
      </c>
      <c r="P5" s="19">
        <f t="shared" si="2"/>
        <v>1500000</v>
      </c>
      <c r="Q5" s="19">
        <f t="shared" si="2"/>
        <v>1750000</v>
      </c>
      <c r="R5" s="19">
        <f t="shared" si="2"/>
        <v>1000000</v>
      </c>
      <c r="S5" s="19">
        <f t="shared" si="2"/>
        <v>1750000</v>
      </c>
      <c r="T5" s="19">
        <f t="shared" si="2"/>
        <v>2000000</v>
      </c>
      <c r="U5" s="19">
        <f t="shared" si="2"/>
        <v>2250000</v>
      </c>
      <c r="V5" s="19">
        <f t="shared" si="2"/>
        <v>2500000</v>
      </c>
      <c r="W5" s="21">
        <f>SUM(J5:V5)</f>
        <v>20250000</v>
      </c>
    </row>
    <row r="6" spans="3:23" ht="16.5" thickBot="1" x14ac:dyDescent="0.3">
      <c r="C6" s="24"/>
      <c r="D6" s="40"/>
      <c r="E6" s="40"/>
      <c r="F6" s="40"/>
      <c r="I6" s="40"/>
      <c r="J6" s="19"/>
      <c r="K6" s="19"/>
      <c r="L6" s="19"/>
      <c r="M6" s="19"/>
      <c r="N6" s="19"/>
      <c r="O6" s="19"/>
      <c r="P6" s="19"/>
      <c r="Q6" s="19"/>
      <c r="R6" s="19"/>
      <c r="S6" s="19"/>
      <c r="T6" s="19"/>
      <c r="U6" s="19"/>
      <c r="V6" s="19"/>
      <c r="W6" s="21"/>
    </row>
    <row r="7" spans="3:23" ht="16.5" thickBot="1" x14ac:dyDescent="0.3">
      <c r="C7" s="24" t="s">
        <v>47</v>
      </c>
      <c r="D7" s="40"/>
      <c r="E7" s="59">
        <f>Dashboard!D6</f>
        <v>0</v>
      </c>
      <c r="F7" s="40"/>
      <c r="I7" s="40"/>
      <c r="J7" s="19">
        <f t="shared" ref="J7:V7" si="3">-J5*$E$7</f>
        <v>0</v>
      </c>
      <c r="K7" s="19">
        <f t="shared" si="3"/>
        <v>0</v>
      </c>
      <c r="L7" s="19">
        <f t="shared" si="3"/>
        <v>0</v>
      </c>
      <c r="M7" s="19">
        <f t="shared" si="3"/>
        <v>0</v>
      </c>
      <c r="N7" s="19">
        <f t="shared" si="3"/>
        <v>0</v>
      </c>
      <c r="O7" s="19">
        <f t="shared" si="3"/>
        <v>0</v>
      </c>
      <c r="P7" s="19">
        <f t="shared" si="3"/>
        <v>0</v>
      </c>
      <c r="Q7" s="19">
        <f t="shared" si="3"/>
        <v>0</v>
      </c>
      <c r="R7" s="19">
        <f t="shared" si="3"/>
        <v>0</v>
      </c>
      <c r="S7" s="19">
        <f t="shared" si="3"/>
        <v>0</v>
      </c>
      <c r="T7" s="19">
        <f t="shared" si="3"/>
        <v>0</v>
      </c>
      <c r="U7" s="19">
        <f t="shared" si="3"/>
        <v>0</v>
      </c>
      <c r="V7" s="19">
        <f t="shared" si="3"/>
        <v>0</v>
      </c>
      <c r="W7" s="21">
        <f>SUM(J7:V7)</f>
        <v>0</v>
      </c>
    </row>
    <row r="8" spans="3:23" ht="15.75" x14ac:dyDescent="0.25">
      <c r="C8" s="24"/>
      <c r="D8" s="40"/>
      <c r="E8" s="40"/>
      <c r="F8" s="40"/>
      <c r="I8" s="40"/>
      <c r="J8" s="19"/>
      <c r="K8" s="19"/>
      <c r="L8" s="19"/>
      <c r="M8" s="19"/>
      <c r="N8" s="19"/>
      <c r="O8" s="19"/>
      <c r="P8" s="19"/>
      <c r="Q8" s="19"/>
      <c r="R8" s="19"/>
      <c r="S8" s="19"/>
      <c r="T8" s="19"/>
      <c r="U8" s="19"/>
      <c r="V8" s="19"/>
      <c r="W8" s="21"/>
    </row>
    <row r="9" spans="3:23" ht="15.75" x14ac:dyDescent="0.25">
      <c r="C9" s="24" t="s">
        <v>50</v>
      </c>
      <c r="D9" s="40"/>
      <c r="E9" s="40"/>
      <c r="F9" s="40"/>
      <c r="I9" s="40"/>
      <c r="J9" s="19">
        <f>SUM(J5,J7)</f>
        <v>1250000</v>
      </c>
      <c r="K9" s="19">
        <f t="shared" ref="K9:V9" si="4">SUM(K5,K7)</f>
        <v>1250000</v>
      </c>
      <c r="L9" s="19">
        <f t="shared" si="4"/>
        <v>1250000</v>
      </c>
      <c r="M9" s="19">
        <f t="shared" si="4"/>
        <v>1250000</v>
      </c>
      <c r="N9" s="19">
        <f t="shared" si="4"/>
        <v>1250000</v>
      </c>
      <c r="O9" s="19">
        <f t="shared" si="4"/>
        <v>1250000</v>
      </c>
      <c r="P9" s="19">
        <f t="shared" si="4"/>
        <v>1500000</v>
      </c>
      <c r="Q9" s="19">
        <f t="shared" si="4"/>
        <v>1750000</v>
      </c>
      <c r="R9" s="19">
        <f t="shared" si="4"/>
        <v>1000000</v>
      </c>
      <c r="S9" s="19">
        <f t="shared" si="4"/>
        <v>1750000</v>
      </c>
      <c r="T9" s="19">
        <f t="shared" si="4"/>
        <v>2000000</v>
      </c>
      <c r="U9" s="19">
        <f t="shared" si="4"/>
        <v>2250000</v>
      </c>
      <c r="V9" s="19">
        <f t="shared" si="4"/>
        <v>2500000</v>
      </c>
      <c r="W9" s="21">
        <f>SUM(J9:V9)</f>
        <v>20250000</v>
      </c>
    </row>
    <row r="10" spans="3:23" ht="16.5" thickBot="1" x14ac:dyDescent="0.3">
      <c r="C10" s="24"/>
      <c r="D10" s="40"/>
      <c r="E10" s="40"/>
      <c r="F10" s="40"/>
      <c r="I10" s="40"/>
      <c r="J10" s="19"/>
      <c r="K10" s="19"/>
      <c r="L10" s="19"/>
      <c r="M10" s="19"/>
      <c r="N10" s="19"/>
      <c r="O10" s="19"/>
      <c r="P10" s="19"/>
      <c r="Q10" s="19"/>
      <c r="R10" s="19"/>
      <c r="S10" s="19"/>
      <c r="T10" s="19"/>
      <c r="U10" s="19"/>
      <c r="V10" s="19"/>
      <c r="W10" s="21"/>
    </row>
    <row r="11" spans="3:23" ht="16.5" thickBot="1" x14ac:dyDescent="0.3">
      <c r="C11" s="24" t="s">
        <v>48</v>
      </c>
      <c r="D11" s="61">
        <f>הנחות!F10</f>
        <v>0</v>
      </c>
      <c r="E11" s="61">
        <f>(E7/10%)*D11</f>
        <v>0</v>
      </c>
      <c r="F11" s="40"/>
      <c r="I11" s="40"/>
      <c r="J11" s="19">
        <f t="shared" ref="J11:V11" si="5">$E$5*$E$11</f>
        <v>0</v>
      </c>
      <c r="K11" s="19">
        <f t="shared" si="5"/>
        <v>0</v>
      </c>
      <c r="L11" s="19">
        <f t="shared" si="5"/>
        <v>0</v>
      </c>
      <c r="M11" s="19">
        <f t="shared" si="5"/>
        <v>0</v>
      </c>
      <c r="N11" s="19">
        <f t="shared" si="5"/>
        <v>0</v>
      </c>
      <c r="O11" s="19">
        <f t="shared" si="5"/>
        <v>0</v>
      </c>
      <c r="P11" s="19">
        <f t="shared" si="5"/>
        <v>0</v>
      </c>
      <c r="Q11" s="19">
        <f t="shared" si="5"/>
        <v>0</v>
      </c>
      <c r="R11" s="19">
        <f t="shared" si="5"/>
        <v>0</v>
      </c>
      <c r="S11" s="19">
        <f t="shared" si="5"/>
        <v>0</v>
      </c>
      <c r="T11" s="19">
        <f t="shared" si="5"/>
        <v>0</v>
      </c>
      <c r="U11" s="19">
        <f t="shared" si="5"/>
        <v>0</v>
      </c>
      <c r="V11" s="19">
        <f t="shared" si="5"/>
        <v>0</v>
      </c>
      <c r="W11" s="21">
        <f>SUM(J11:V11)</f>
        <v>0</v>
      </c>
    </row>
    <row r="12" spans="3:23" ht="15.75" x14ac:dyDescent="0.25">
      <c r="C12" s="24"/>
      <c r="D12" s="150"/>
      <c r="E12" s="150"/>
      <c r="F12" s="40"/>
      <c r="G12" s="40"/>
      <c r="H12" s="40"/>
      <c r="I12" s="40"/>
      <c r="J12" s="19"/>
      <c r="K12" s="19"/>
      <c r="L12" s="19"/>
      <c r="M12" s="19"/>
      <c r="N12" s="19"/>
      <c r="O12" s="19"/>
      <c r="P12" s="19"/>
      <c r="Q12" s="19"/>
      <c r="R12" s="19"/>
      <c r="S12" s="19"/>
      <c r="T12" s="19"/>
      <c r="U12" s="19"/>
      <c r="V12" s="19"/>
      <c r="W12" s="21"/>
    </row>
    <row r="13" spans="3:23" ht="15.75" x14ac:dyDescent="0.25">
      <c r="C13" s="24" t="s">
        <v>307</v>
      </c>
      <c r="D13" s="150"/>
      <c r="E13" s="150"/>
      <c r="F13" s="40"/>
      <c r="G13" s="40"/>
      <c r="H13" s="40"/>
      <c r="I13" s="40"/>
      <c r="J13" s="65">
        <f>MIN(SUM(J9,J11),$E$5)</f>
        <v>1250000</v>
      </c>
      <c r="K13" s="65">
        <f t="shared" ref="K13:V13" si="6">MIN(SUM(K9,K11),$E$5)</f>
        <v>1250000</v>
      </c>
      <c r="L13" s="65">
        <f t="shared" si="6"/>
        <v>1250000</v>
      </c>
      <c r="M13" s="65">
        <f t="shared" si="6"/>
        <v>1250000</v>
      </c>
      <c r="N13" s="65">
        <f t="shared" si="6"/>
        <v>1250000</v>
      </c>
      <c r="O13" s="65">
        <f t="shared" si="6"/>
        <v>1250000</v>
      </c>
      <c r="P13" s="65">
        <f t="shared" si="6"/>
        <v>1500000</v>
      </c>
      <c r="Q13" s="65">
        <f t="shared" si="6"/>
        <v>1750000</v>
      </c>
      <c r="R13" s="65">
        <f t="shared" si="6"/>
        <v>1000000</v>
      </c>
      <c r="S13" s="65">
        <f t="shared" si="6"/>
        <v>1750000</v>
      </c>
      <c r="T13" s="65">
        <f t="shared" si="6"/>
        <v>2000000</v>
      </c>
      <c r="U13" s="65">
        <f t="shared" si="6"/>
        <v>2250000</v>
      </c>
      <c r="V13" s="65">
        <f t="shared" si="6"/>
        <v>2500000</v>
      </c>
      <c r="W13" s="21">
        <f>SUM(J13:V13)</f>
        <v>20250000</v>
      </c>
    </row>
    <row r="14" spans="3:23" ht="16.5" thickBot="1" x14ac:dyDescent="0.3">
      <c r="C14" s="24"/>
      <c r="D14" s="150"/>
      <c r="E14" s="150"/>
      <c r="F14" s="40"/>
      <c r="G14" s="40"/>
      <c r="H14" s="40"/>
      <c r="I14" s="40"/>
      <c r="J14" s="19"/>
      <c r="K14" s="19"/>
      <c r="L14" s="19"/>
      <c r="M14" s="19"/>
      <c r="N14" s="19"/>
      <c r="O14" s="19"/>
      <c r="P14" s="19"/>
      <c r="Q14" s="19"/>
      <c r="R14" s="19"/>
      <c r="S14" s="19"/>
      <c r="T14" s="19"/>
      <c r="U14" s="19"/>
      <c r="V14" s="19"/>
      <c r="W14" s="21"/>
    </row>
    <row r="15" spans="3:23" ht="16.5" thickBot="1" x14ac:dyDescent="0.3">
      <c r="C15" s="24" t="s">
        <v>306</v>
      </c>
      <c r="D15" s="150"/>
      <c r="E15" s="58">
        <f>הנחות!J8</f>
        <v>1000000</v>
      </c>
      <c r="F15" s="40"/>
      <c r="G15" s="40"/>
      <c r="H15" s="40"/>
      <c r="I15" s="40"/>
      <c r="J15" s="19">
        <f>$E$15*(J4+$E$11)</f>
        <v>500000</v>
      </c>
      <c r="K15" s="19">
        <f t="shared" ref="K15:V15" si="7">$E$15*(K4+$E$11)</f>
        <v>500000</v>
      </c>
      <c r="L15" s="19">
        <f t="shared" si="7"/>
        <v>500000</v>
      </c>
      <c r="M15" s="19">
        <f t="shared" si="7"/>
        <v>500000</v>
      </c>
      <c r="N15" s="19">
        <f t="shared" si="7"/>
        <v>500000</v>
      </c>
      <c r="O15" s="19">
        <f t="shared" si="7"/>
        <v>500000</v>
      </c>
      <c r="P15" s="19">
        <f t="shared" si="7"/>
        <v>600000</v>
      </c>
      <c r="Q15" s="19">
        <f t="shared" si="7"/>
        <v>700000</v>
      </c>
      <c r="R15" s="19">
        <f t="shared" si="7"/>
        <v>400000</v>
      </c>
      <c r="S15" s="19">
        <f t="shared" si="7"/>
        <v>700000</v>
      </c>
      <c r="T15" s="19">
        <f t="shared" si="7"/>
        <v>800000</v>
      </c>
      <c r="U15" s="19">
        <f t="shared" si="7"/>
        <v>900000</v>
      </c>
      <c r="V15" s="19">
        <f t="shared" si="7"/>
        <v>1000000</v>
      </c>
      <c r="W15" s="21">
        <f>SUM(J15:V15)</f>
        <v>8100000</v>
      </c>
    </row>
    <row r="16" spans="3:23" ht="15.75" x14ac:dyDescent="0.25">
      <c r="C16" s="24"/>
      <c r="D16" s="150"/>
      <c r="E16" s="263"/>
      <c r="F16" s="40"/>
      <c r="G16" s="40"/>
      <c r="H16" s="40"/>
      <c r="I16" s="40"/>
      <c r="J16" s="19"/>
      <c r="K16" s="19"/>
      <c r="L16" s="19"/>
      <c r="M16" s="19"/>
      <c r="N16" s="19"/>
      <c r="O16" s="19"/>
      <c r="P16" s="19"/>
      <c r="Q16" s="19"/>
      <c r="R16" s="19"/>
      <c r="S16" s="19"/>
      <c r="T16" s="19"/>
      <c r="U16" s="19"/>
      <c r="V16" s="19"/>
      <c r="W16" s="21"/>
    </row>
    <row r="17" spans="3:23" ht="15.75" x14ac:dyDescent="0.25">
      <c r="C17" s="24" t="s">
        <v>49</v>
      </c>
      <c r="D17" s="150"/>
      <c r="E17" s="263"/>
      <c r="F17" s="40"/>
      <c r="G17" s="40"/>
      <c r="H17" s="40"/>
      <c r="I17" s="40"/>
      <c r="J17" s="19">
        <f>SUM(J13,J15)</f>
        <v>1750000</v>
      </c>
      <c r="K17" s="19">
        <f t="shared" ref="K17:V17" si="8">SUM(K13,K15)</f>
        <v>1750000</v>
      </c>
      <c r="L17" s="19">
        <f t="shared" si="8"/>
        <v>1750000</v>
      </c>
      <c r="M17" s="19">
        <f t="shared" si="8"/>
        <v>1750000</v>
      </c>
      <c r="N17" s="19">
        <f t="shared" si="8"/>
        <v>1750000</v>
      </c>
      <c r="O17" s="19">
        <f t="shared" si="8"/>
        <v>1750000</v>
      </c>
      <c r="P17" s="19">
        <f t="shared" si="8"/>
        <v>2100000</v>
      </c>
      <c r="Q17" s="19">
        <f t="shared" si="8"/>
        <v>2450000</v>
      </c>
      <c r="R17" s="19">
        <f t="shared" si="8"/>
        <v>1400000</v>
      </c>
      <c r="S17" s="19">
        <f t="shared" si="8"/>
        <v>2450000</v>
      </c>
      <c r="T17" s="19">
        <f t="shared" si="8"/>
        <v>2800000</v>
      </c>
      <c r="U17" s="19">
        <f t="shared" si="8"/>
        <v>3150000</v>
      </c>
      <c r="V17" s="19">
        <f t="shared" si="8"/>
        <v>3500000</v>
      </c>
      <c r="W17" s="21">
        <f>SUM(J17:V17)</f>
        <v>28350000</v>
      </c>
    </row>
    <row r="18" spans="3:23" ht="15.75" x14ac:dyDescent="0.25">
      <c r="C18" s="24"/>
      <c r="D18" s="150"/>
      <c r="E18" s="263"/>
      <c r="F18" s="40"/>
      <c r="G18" s="40"/>
      <c r="H18" s="40"/>
      <c r="I18" s="40"/>
      <c r="J18" s="19"/>
      <c r="K18" s="19"/>
      <c r="L18" s="19"/>
      <c r="M18" s="19"/>
      <c r="N18" s="19"/>
      <c r="O18" s="19"/>
      <c r="P18" s="19"/>
      <c r="Q18" s="19"/>
      <c r="R18" s="19"/>
      <c r="S18" s="19"/>
      <c r="T18" s="19"/>
      <c r="U18" s="19"/>
      <c r="V18" s="19"/>
      <c r="W18" s="21"/>
    </row>
    <row r="19" spans="3:23" ht="15.75" x14ac:dyDescent="0.25">
      <c r="C19" s="24"/>
      <c r="D19" s="150"/>
      <c r="E19" s="150"/>
      <c r="F19" s="40"/>
      <c r="G19" s="40"/>
      <c r="H19" s="40"/>
      <c r="I19" s="40"/>
      <c r="J19" s="19"/>
      <c r="K19" s="19"/>
      <c r="L19" s="19"/>
      <c r="M19" s="19"/>
      <c r="N19" s="19"/>
      <c r="O19" s="19"/>
      <c r="P19" s="19"/>
      <c r="Q19" s="19"/>
      <c r="R19" s="19"/>
      <c r="S19" s="19"/>
      <c r="T19" s="19"/>
      <c r="U19" s="19"/>
      <c r="V19" s="19"/>
      <c r="W19" s="21"/>
    </row>
    <row r="20" spans="3:23" ht="15.75" x14ac:dyDescent="0.25">
      <c r="C20" s="24" t="s">
        <v>63</v>
      </c>
      <c r="D20" s="150"/>
      <c r="E20" s="150"/>
      <c r="F20" s="40"/>
      <c r="G20" s="40"/>
      <c r="H20" s="40"/>
      <c r="I20" s="40"/>
      <c r="J20" s="19">
        <f t="shared" ref="J20:V20" si="9">IF(J3=1,J17,"")</f>
        <v>1750000</v>
      </c>
      <c r="K20" s="19">
        <f t="shared" si="9"/>
        <v>1750000</v>
      </c>
      <c r="L20" s="19">
        <f t="shared" si="9"/>
        <v>1750000</v>
      </c>
      <c r="M20" s="19">
        <f t="shared" si="9"/>
        <v>1750000</v>
      </c>
      <c r="N20" s="19">
        <f t="shared" si="9"/>
        <v>1750000</v>
      </c>
      <c r="O20" s="19">
        <f t="shared" si="9"/>
        <v>1750000</v>
      </c>
      <c r="P20" s="19">
        <f t="shared" si="9"/>
        <v>2100000</v>
      </c>
      <c r="Q20" s="19">
        <f t="shared" si="9"/>
        <v>2450000</v>
      </c>
      <c r="R20" s="19">
        <f t="shared" si="9"/>
        <v>1400000</v>
      </c>
      <c r="S20" s="19">
        <f t="shared" si="9"/>
        <v>2450000</v>
      </c>
      <c r="T20" s="19">
        <f t="shared" si="9"/>
        <v>2800000</v>
      </c>
      <c r="U20" s="19">
        <f t="shared" si="9"/>
        <v>3150000</v>
      </c>
      <c r="V20" s="19">
        <f t="shared" si="9"/>
        <v>3500000</v>
      </c>
      <c r="W20" s="21">
        <f>SUM(J20:V20)</f>
        <v>28350000</v>
      </c>
    </row>
    <row r="21" spans="3:23" ht="15.75" thickBot="1" x14ac:dyDescent="0.3">
      <c r="C21" s="11"/>
      <c r="D21" s="2"/>
      <c r="E21" s="2"/>
      <c r="F21" s="2"/>
      <c r="G21" s="2"/>
      <c r="H21" s="2"/>
      <c r="I21" s="2"/>
      <c r="J21" s="2"/>
      <c r="K21" s="2"/>
      <c r="L21" s="2"/>
      <c r="M21" s="2"/>
      <c r="N21" s="2"/>
      <c r="O21" s="2"/>
      <c r="P21" s="2"/>
      <c r="Q21" s="2"/>
      <c r="R21" s="2"/>
      <c r="S21" s="2"/>
      <c r="T21" s="2"/>
      <c r="U21" s="2"/>
      <c r="V21" s="2"/>
      <c r="W21" s="41"/>
    </row>
    <row r="22" spans="3:23" ht="15.75" thickBot="1" x14ac:dyDescent="0.3">
      <c r="C22" s="1"/>
      <c r="D22" s="1"/>
      <c r="E22" s="1"/>
      <c r="F22" s="1"/>
      <c r="G22" s="1"/>
      <c r="H22" s="1"/>
      <c r="I22" s="1"/>
      <c r="J22" s="1"/>
      <c r="K22" s="1"/>
      <c r="L22" s="1"/>
      <c r="M22" s="1"/>
      <c r="N22" s="1"/>
      <c r="O22" s="1"/>
      <c r="P22" s="1"/>
      <c r="Q22" s="1"/>
      <c r="R22" s="1"/>
      <c r="S22" s="1"/>
      <c r="T22" s="1"/>
      <c r="U22" s="1"/>
      <c r="V22" s="1"/>
      <c r="W22" s="121"/>
    </row>
    <row r="23" spans="3:23" ht="15.75" x14ac:dyDescent="0.25">
      <c r="C23" s="264" t="s">
        <v>116</v>
      </c>
      <c r="D23" s="34"/>
      <c r="E23" s="34"/>
      <c r="F23" s="34"/>
      <c r="G23" s="34"/>
      <c r="H23" s="34"/>
      <c r="I23" s="34"/>
      <c r="J23" s="34">
        <f>הנחות!F6</f>
        <v>43983</v>
      </c>
      <c r="K23" s="34">
        <f>EDATE(J23,1)</f>
        <v>44013</v>
      </c>
      <c r="L23" s="34">
        <f t="shared" ref="L23:V23" si="10">EDATE(K23,1)</f>
        <v>44044</v>
      </c>
      <c r="M23" s="34">
        <f t="shared" si="10"/>
        <v>44075</v>
      </c>
      <c r="N23" s="34">
        <f t="shared" si="10"/>
        <v>44105</v>
      </c>
      <c r="O23" s="34">
        <f t="shared" si="10"/>
        <v>44136</v>
      </c>
      <c r="P23" s="34">
        <f t="shared" si="10"/>
        <v>44166</v>
      </c>
      <c r="Q23" s="34">
        <f t="shared" si="10"/>
        <v>44197</v>
      </c>
      <c r="R23" s="34">
        <f t="shared" si="10"/>
        <v>44228</v>
      </c>
      <c r="S23" s="34">
        <f t="shared" si="10"/>
        <v>44256</v>
      </c>
      <c r="T23" s="34">
        <f t="shared" si="10"/>
        <v>44287</v>
      </c>
      <c r="U23" s="34">
        <f t="shared" si="10"/>
        <v>44317</v>
      </c>
      <c r="V23" s="34">
        <f t="shared" si="10"/>
        <v>44348</v>
      </c>
      <c r="W23" s="20" t="s">
        <v>23</v>
      </c>
    </row>
    <row r="24" spans="3:23" ht="15.75" x14ac:dyDescent="0.25">
      <c r="C24" s="24" t="s">
        <v>62</v>
      </c>
      <c r="D24" s="40"/>
      <c r="E24" s="71">
        <f>Dashboard!D4</f>
        <v>43983</v>
      </c>
      <c r="F24" s="40"/>
      <c r="I24" s="40"/>
      <c r="J24" s="19">
        <f t="shared" ref="J24:V24" si="11">IF(J23&gt;=$E$3,1,0)</f>
        <v>1</v>
      </c>
      <c r="K24" s="19">
        <f t="shared" si="11"/>
        <v>1</v>
      </c>
      <c r="L24" s="19">
        <f t="shared" si="11"/>
        <v>1</v>
      </c>
      <c r="M24" s="19">
        <f t="shared" si="11"/>
        <v>1</v>
      </c>
      <c r="N24" s="19">
        <f t="shared" si="11"/>
        <v>1</v>
      </c>
      <c r="O24" s="19">
        <f t="shared" si="11"/>
        <v>1</v>
      </c>
      <c r="P24" s="19">
        <f t="shared" si="11"/>
        <v>1</v>
      </c>
      <c r="Q24" s="19">
        <f t="shared" si="11"/>
        <v>1</v>
      </c>
      <c r="R24" s="19">
        <f t="shared" si="11"/>
        <v>1</v>
      </c>
      <c r="S24" s="19">
        <f t="shared" si="11"/>
        <v>1</v>
      </c>
      <c r="T24" s="19">
        <f t="shared" si="11"/>
        <v>1</v>
      </c>
      <c r="U24" s="19">
        <f t="shared" si="11"/>
        <v>1</v>
      </c>
      <c r="V24" s="19">
        <f t="shared" si="11"/>
        <v>1</v>
      </c>
      <c r="W24" s="21"/>
    </row>
    <row r="25" spans="3:23" ht="15.75" x14ac:dyDescent="0.25">
      <c r="C25" s="24" t="s">
        <v>46</v>
      </c>
      <c r="D25" s="40"/>
      <c r="F25" s="40"/>
      <c r="I25" s="40"/>
      <c r="J25" s="57">
        <f t="array" ref="J25:V25">TRANSPOSE(הנחות!J13:J25)</f>
        <v>0.5</v>
      </c>
      <c r="K25" s="57">
        <v>0.5</v>
      </c>
      <c r="L25" s="57">
        <v>0.5</v>
      </c>
      <c r="M25" s="57">
        <v>0.5</v>
      </c>
      <c r="N25" s="57">
        <v>0.5</v>
      </c>
      <c r="O25" s="57">
        <v>0.5</v>
      </c>
      <c r="P25" s="57">
        <v>0.6</v>
      </c>
      <c r="Q25" s="57">
        <v>0.7</v>
      </c>
      <c r="R25" s="57">
        <v>0.4</v>
      </c>
      <c r="S25" s="57">
        <v>0.7</v>
      </c>
      <c r="T25" s="57">
        <v>0.8</v>
      </c>
      <c r="U25" s="57">
        <v>0.9</v>
      </c>
      <c r="V25" s="57">
        <v>1</v>
      </c>
      <c r="W25" s="72">
        <f>SUM(J25:V25)/12</f>
        <v>0.67500000000000016</v>
      </c>
    </row>
    <row r="26" spans="3:23" ht="15.75" x14ac:dyDescent="0.25">
      <c r="C26" s="24"/>
      <c r="D26" s="40"/>
      <c r="F26" s="40"/>
      <c r="I26" s="40"/>
      <c r="J26" s="57"/>
      <c r="K26" s="57"/>
      <c r="L26" s="57"/>
      <c r="M26" s="57"/>
      <c r="N26" s="57"/>
      <c r="O26" s="57"/>
      <c r="P26" s="57"/>
      <c r="Q26" s="57"/>
      <c r="R26" s="57"/>
      <c r="S26" s="57"/>
      <c r="T26" s="57"/>
      <c r="U26" s="57"/>
      <c r="V26" s="57"/>
      <c r="W26" s="72"/>
    </row>
    <row r="27" spans="3:23" ht="15.75" x14ac:dyDescent="0.25">
      <c r="C27" s="23" t="s">
        <v>308</v>
      </c>
      <c r="D27" s="40"/>
      <c r="F27" s="40"/>
      <c r="I27" s="40"/>
      <c r="J27" s="57"/>
      <c r="K27" s="57"/>
      <c r="L27" s="57"/>
      <c r="M27" s="57"/>
      <c r="N27" s="57"/>
      <c r="O27" s="57"/>
      <c r="P27" s="57"/>
      <c r="Q27" s="57"/>
      <c r="R27" s="57"/>
      <c r="S27" s="57"/>
      <c r="T27" s="57"/>
      <c r="U27" s="57"/>
      <c r="V27" s="57"/>
      <c r="W27" s="72"/>
    </row>
    <row r="28" spans="3:23" ht="15.75" x14ac:dyDescent="0.25">
      <c r="C28" s="23" t="s">
        <v>117</v>
      </c>
      <c r="D28" s="40"/>
      <c r="F28" s="40"/>
      <c r="I28" s="40"/>
      <c r="J28" s="57"/>
      <c r="K28" s="57"/>
      <c r="L28" s="57"/>
      <c r="M28" s="57"/>
      <c r="N28" s="57"/>
      <c r="O28" s="57"/>
      <c r="P28" s="57"/>
      <c r="Q28" s="57"/>
      <c r="R28" s="57"/>
      <c r="S28" s="57"/>
      <c r="T28" s="57"/>
      <c r="U28" s="57"/>
      <c r="V28" s="57"/>
      <c r="W28" s="72"/>
    </row>
    <row r="29" spans="3:23" ht="15.75" x14ac:dyDescent="0.25">
      <c r="C29" s="24" t="s">
        <v>118</v>
      </c>
      <c r="D29" s="40"/>
      <c r="F29" s="40"/>
      <c r="I29" s="40"/>
      <c r="J29" s="19">
        <f t="array" ref="J29:V29">TRANSPOSE(הנחות!F59:F71)</f>
        <v>0</v>
      </c>
      <c r="K29" s="19">
        <v>0</v>
      </c>
      <c r="L29" s="19">
        <v>0</v>
      </c>
      <c r="M29" s="19">
        <v>0</v>
      </c>
      <c r="N29" s="19">
        <v>0</v>
      </c>
      <c r="O29" s="19">
        <v>0</v>
      </c>
      <c r="P29" s="19">
        <v>0</v>
      </c>
      <c r="Q29" s="19">
        <v>0</v>
      </c>
      <c r="R29" s="19">
        <v>0</v>
      </c>
      <c r="S29" s="19">
        <v>0</v>
      </c>
      <c r="T29" s="19">
        <v>0</v>
      </c>
      <c r="U29" s="19">
        <v>0</v>
      </c>
      <c r="V29" s="19">
        <v>0</v>
      </c>
      <c r="W29" s="72"/>
    </row>
    <row r="30" spans="3:23" ht="16.5" thickBot="1" x14ac:dyDescent="0.3">
      <c r="C30" s="24"/>
      <c r="D30" s="40"/>
      <c r="F30" s="40"/>
      <c r="I30" s="40"/>
      <c r="J30" s="57"/>
      <c r="K30" s="57"/>
      <c r="L30" s="57"/>
      <c r="M30" s="57"/>
      <c r="N30" s="57"/>
      <c r="O30" s="57"/>
      <c r="P30" s="57"/>
      <c r="Q30" s="57"/>
      <c r="R30" s="57"/>
      <c r="S30" s="57"/>
      <c r="T30" s="57"/>
      <c r="U30" s="57"/>
      <c r="V30" s="57"/>
      <c r="W30" s="72"/>
    </row>
    <row r="31" spans="3:23" ht="16.5" thickBot="1" x14ac:dyDescent="0.3">
      <c r="C31" s="24" t="s">
        <v>47</v>
      </c>
      <c r="D31" s="40"/>
      <c r="E31" s="122">
        <f>Dashboard!D6</f>
        <v>0</v>
      </c>
      <c r="F31" s="40"/>
      <c r="I31" s="40"/>
      <c r="J31" s="19">
        <f t="shared" ref="J31:V31" si="12">-J29*$E$31</f>
        <v>0</v>
      </c>
      <c r="K31" s="19">
        <f t="shared" si="12"/>
        <v>0</v>
      </c>
      <c r="L31" s="19">
        <f t="shared" si="12"/>
        <v>0</v>
      </c>
      <c r="M31" s="19">
        <f t="shared" si="12"/>
        <v>0</v>
      </c>
      <c r="N31" s="19">
        <f t="shared" si="12"/>
        <v>0</v>
      </c>
      <c r="O31" s="19">
        <f t="shared" si="12"/>
        <v>0</v>
      </c>
      <c r="P31" s="19">
        <f t="shared" si="12"/>
        <v>0</v>
      </c>
      <c r="Q31" s="19">
        <f t="shared" si="12"/>
        <v>0</v>
      </c>
      <c r="R31" s="19">
        <f t="shared" si="12"/>
        <v>0</v>
      </c>
      <c r="S31" s="19">
        <f t="shared" si="12"/>
        <v>0</v>
      </c>
      <c r="T31" s="19">
        <f t="shared" si="12"/>
        <v>0</v>
      </c>
      <c r="U31" s="19">
        <f t="shared" si="12"/>
        <v>0</v>
      </c>
      <c r="V31" s="19">
        <f t="shared" si="12"/>
        <v>0</v>
      </c>
      <c r="W31" s="72"/>
    </row>
    <row r="32" spans="3:23" ht="15.75" x14ac:dyDescent="0.25">
      <c r="C32" s="24"/>
      <c r="D32" s="40"/>
      <c r="E32" s="120"/>
      <c r="F32" s="40"/>
      <c r="I32" s="40"/>
      <c r="J32" s="57"/>
      <c r="K32" s="57"/>
      <c r="L32" s="57"/>
      <c r="M32" s="57"/>
      <c r="N32" s="57"/>
      <c r="O32" s="57"/>
      <c r="P32" s="57"/>
      <c r="Q32" s="57"/>
      <c r="R32" s="57"/>
      <c r="S32" s="57"/>
      <c r="T32" s="57"/>
      <c r="U32" s="57"/>
      <c r="V32" s="57"/>
      <c r="W32" s="72"/>
    </row>
    <row r="33" spans="3:23" ht="15.75" x14ac:dyDescent="0.25">
      <c r="C33" s="24" t="s">
        <v>119</v>
      </c>
      <c r="D33" s="40"/>
      <c r="E33" s="120"/>
      <c r="F33" s="40"/>
      <c r="I33" s="40"/>
      <c r="J33" s="19">
        <f>SUM(J29,J31)</f>
        <v>0</v>
      </c>
      <c r="K33" s="19">
        <f t="shared" ref="K33:V33" si="13">SUM(K29,K31)</f>
        <v>0</v>
      </c>
      <c r="L33" s="19">
        <f t="shared" si="13"/>
        <v>0</v>
      </c>
      <c r="M33" s="19">
        <f t="shared" si="13"/>
        <v>0</v>
      </c>
      <c r="N33" s="19">
        <f t="shared" si="13"/>
        <v>0</v>
      </c>
      <c r="O33" s="19">
        <f t="shared" si="13"/>
        <v>0</v>
      </c>
      <c r="P33" s="19">
        <f t="shared" si="13"/>
        <v>0</v>
      </c>
      <c r="Q33" s="19">
        <f t="shared" si="13"/>
        <v>0</v>
      </c>
      <c r="R33" s="19">
        <f t="shared" si="13"/>
        <v>0</v>
      </c>
      <c r="S33" s="19">
        <f t="shared" si="13"/>
        <v>0</v>
      </c>
      <c r="T33" s="19">
        <f t="shared" si="13"/>
        <v>0</v>
      </c>
      <c r="U33" s="19">
        <f t="shared" si="13"/>
        <v>0</v>
      </c>
      <c r="V33" s="19">
        <f t="shared" si="13"/>
        <v>0</v>
      </c>
      <c r="W33" s="72"/>
    </row>
    <row r="34" spans="3:23" ht="15.75" x14ac:dyDescent="0.25">
      <c r="C34" s="24"/>
      <c r="D34" s="40"/>
      <c r="E34" s="120"/>
      <c r="F34" s="40"/>
      <c r="I34" s="40"/>
      <c r="J34" s="57"/>
      <c r="K34" s="57"/>
      <c r="L34" s="57"/>
      <c r="M34" s="57"/>
      <c r="N34" s="57"/>
      <c r="O34" s="57"/>
      <c r="P34" s="57"/>
      <c r="Q34" s="57"/>
      <c r="R34" s="57"/>
      <c r="S34" s="57"/>
      <c r="T34" s="57"/>
      <c r="U34" s="57"/>
      <c r="V34" s="57"/>
      <c r="W34" s="72"/>
    </row>
    <row r="35" spans="3:23" ht="16.5" thickBot="1" x14ac:dyDescent="0.3">
      <c r="C35" s="23" t="s">
        <v>121</v>
      </c>
      <c r="D35" s="40"/>
      <c r="E35" s="120"/>
      <c r="F35" s="40"/>
      <c r="I35" s="40"/>
      <c r="J35" s="57"/>
      <c r="K35" s="57"/>
      <c r="L35" s="57"/>
      <c r="M35" s="57"/>
      <c r="N35" s="57"/>
      <c r="O35" s="57"/>
      <c r="P35" s="57"/>
      <c r="Q35" s="57"/>
      <c r="R35" s="57"/>
      <c r="S35" s="57"/>
      <c r="T35" s="57"/>
      <c r="U35" s="57"/>
      <c r="V35" s="57"/>
      <c r="W35" s="72"/>
    </row>
    <row r="36" spans="3:23" ht="16.5" thickBot="1" x14ac:dyDescent="0.3">
      <c r="C36" s="24" t="s">
        <v>120</v>
      </c>
      <c r="D36" s="123">
        <f>הנחות!F74</f>
        <v>0</v>
      </c>
      <c r="E36" s="123">
        <f>הנחות!F73</f>
        <v>0</v>
      </c>
      <c r="F36" s="58">
        <f>E36*D36</f>
        <v>0</v>
      </c>
      <c r="I36" s="40"/>
      <c r="J36" s="19">
        <f t="shared" ref="J36:V36" si="14">$E$36*$D$36*J25</f>
        <v>0</v>
      </c>
      <c r="K36" s="19">
        <f t="shared" si="14"/>
        <v>0</v>
      </c>
      <c r="L36" s="19">
        <f t="shared" si="14"/>
        <v>0</v>
      </c>
      <c r="M36" s="19">
        <f t="shared" si="14"/>
        <v>0</v>
      </c>
      <c r="N36" s="19">
        <f t="shared" si="14"/>
        <v>0</v>
      </c>
      <c r="O36" s="19">
        <f t="shared" si="14"/>
        <v>0</v>
      </c>
      <c r="P36" s="19">
        <f t="shared" si="14"/>
        <v>0</v>
      </c>
      <c r="Q36" s="19">
        <f t="shared" si="14"/>
        <v>0</v>
      </c>
      <c r="R36" s="19">
        <f t="shared" si="14"/>
        <v>0</v>
      </c>
      <c r="S36" s="19">
        <f t="shared" si="14"/>
        <v>0</v>
      </c>
      <c r="T36" s="19">
        <f t="shared" si="14"/>
        <v>0</v>
      </c>
      <c r="U36" s="19">
        <f t="shared" si="14"/>
        <v>0</v>
      </c>
      <c r="V36" s="19">
        <f t="shared" si="14"/>
        <v>0</v>
      </c>
      <c r="W36" s="21">
        <f>SUM(J36:V36)</f>
        <v>0</v>
      </c>
    </row>
    <row r="37" spans="3:23" ht="16.5" thickBot="1" x14ac:dyDescent="0.3">
      <c r="C37" s="24"/>
      <c r="D37" s="40"/>
      <c r="F37" s="40"/>
      <c r="I37" s="40"/>
      <c r="J37" s="57"/>
      <c r="K37" s="57"/>
      <c r="L37" s="57"/>
      <c r="M37" s="57"/>
      <c r="N37" s="57"/>
      <c r="O37" s="57"/>
      <c r="P37" s="57"/>
      <c r="Q37" s="57"/>
      <c r="R37" s="57"/>
      <c r="S37" s="57"/>
      <c r="T37" s="57"/>
      <c r="U37" s="57"/>
      <c r="V37" s="57"/>
      <c r="W37" s="72"/>
    </row>
    <row r="38" spans="3:23" ht="16.5" thickBot="1" x14ac:dyDescent="0.3">
      <c r="C38" s="24" t="s">
        <v>123</v>
      </c>
      <c r="D38" s="124">
        <f>הנחות!F10</f>
        <v>0</v>
      </c>
      <c r="E38" s="124">
        <f>IF(E31&gt;0,D38*(E31/10%),0)</f>
        <v>0</v>
      </c>
      <c r="F38" s="40"/>
      <c r="I38" s="40"/>
      <c r="J38" s="19">
        <f t="shared" ref="J38:V38" si="15">$E$36*$D$36*$E$38</f>
        <v>0</v>
      </c>
      <c r="K38" s="19">
        <f t="shared" si="15"/>
        <v>0</v>
      </c>
      <c r="L38" s="19">
        <f t="shared" si="15"/>
        <v>0</v>
      </c>
      <c r="M38" s="19">
        <f t="shared" si="15"/>
        <v>0</v>
      </c>
      <c r="N38" s="19">
        <f t="shared" si="15"/>
        <v>0</v>
      </c>
      <c r="O38" s="19">
        <f t="shared" si="15"/>
        <v>0</v>
      </c>
      <c r="P38" s="19">
        <f t="shared" si="15"/>
        <v>0</v>
      </c>
      <c r="Q38" s="19">
        <f t="shared" si="15"/>
        <v>0</v>
      </c>
      <c r="R38" s="19">
        <f t="shared" si="15"/>
        <v>0</v>
      </c>
      <c r="S38" s="19">
        <f t="shared" si="15"/>
        <v>0</v>
      </c>
      <c r="T38" s="19">
        <f t="shared" si="15"/>
        <v>0</v>
      </c>
      <c r="U38" s="19">
        <f t="shared" si="15"/>
        <v>0</v>
      </c>
      <c r="V38" s="19">
        <f t="shared" si="15"/>
        <v>0</v>
      </c>
      <c r="W38" s="21">
        <f>SUM(J38:V38)</f>
        <v>0</v>
      </c>
    </row>
    <row r="39" spans="3:23" ht="15.75" x14ac:dyDescent="0.25">
      <c r="C39" s="24"/>
      <c r="D39" s="150"/>
      <c r="E39" s="150"/>
      <c r="F39" s="40"/>
      <c r="G39" s="40"/>
      <c r="I39" s="40"/>
      <c r="J39" s="57"/>
      <c r="K39" s="57"/>
      <c r="L39" s="57"/>
      <c r="M39" s="57"/>
      <c r="N39" s="57"/>
      <c r="O39" s="57"/>
      <c r="P39" s="57"/>
      <c r="Q39" s="57"/>
      <c r="R39" s="57"/>
      <c r="S39" s="57"/>
      <c r="T39" s="57"/>
      <c r="U39" s="57"/>
      <c r="V39" s="57"/>
      <c r="W39" s="72"/>
    </row>
    <row r="40" spans="3:23" ht="15.75" x14ac:dyDescent="0.25">
      <c r="C40" s="24" t="s">
        <v>124</v>
      </c>
      <c r="D40" s="150"/>
      <c r="E40" s="150"/>
      <c r="F40" s="40"/>
      <c r="G40" s="40"/>
      <c r="I40" s="40"/>
      <c r="J40" s="19">
        <f>MIN(SUM(J36,J38),$F$36)</f>
        <v>0</v>
      </c>
      <c r="K40" s="19">
        <f t="shared" ref="K40:V40" si="16">MIN(SUM(K36,K38),$F$36)</f>
        <v>0</v>
      </c>
      <c r="L40" s="19">
        <f t="shared" si="16"/>
        <v>0</v>
      </c>
      <c r="M40" s="19">
        <f t="shared" si="16"/>
        <v>0</v>
      </c>
      <c r="N40" s="19">
        <f t="shared" si="16"/>
        <v>0</v>
      </c>
      <c r="O40" s="19">
        <f t="shared" si="16"/>
        <v>0</v>
      </c>
      <c r="P40" s="19">
        <f t="shared" si="16"/>
        <v>0</v>
      </c>
      <c r="Q40" s="19">
        <f t="shared" si="16"/>
        <v>0</v>
      </c>
      <c r="R40" s="19">
        <f t="shared" si="16"/>
        <v>0</v>
      </c>
      <c r="S40" s="19">
        <f t="shared" si="16"/>
        <v>0</v>
      </c>
      <c r="T40" s="19">
        <f t="shared" si="16"/>
        <v>0</v>
      </c>
      <c r="U40" s="19">
        <f t="shared" si="16"/>
        <v>0</v>
      </c>
      <c r="V40" s="19">
        <f t="shared" si="16"/>
        <v>0</v>
      </c>
      <c r="W40" s="21">
        <f>SUM(J40:V40)</f>
        <v>0</v>
      </c>
    </row>
    <row r="41" spans="3:23" ht="15.75" x14ac:dyDescent="0.25">
      <c r="C41" s="24"/>
      <c r="D41" s="150"/>
      <c r="E41" s="150"/>
      <c r="F41" s="40"/>
      <c r="G41" s="40"/>
      <c r="I41" s="40"/>
      <c r="J41" s="19"/>
      <c r="K41" s="19"/>
      <c r="L41" s="19"/>
      <c r="M41" s="19"/>
      <c r="N41" s="19"/>
      <c r="O41" s="19"/>
      <c r="P41" s="19"/>
      <c r="Q41" s="19"/>
      <c r="R41" s="19"/>
      <c r="S41" s="19"/>
      <c r="T41" s="19"/>
      <c r="U41" s="19"/>
      <c r="V41" s="19"/>
      <c r="W41" s="21"/>
    </row>
    <row r="42" spans="3:23" ht="15.75" x14ac:dyDescent="0.25">
      <c r="C42" s="24" t="s">
        <v>129</v>
      </c>
      <c r="D42" s="150"/>
      <c r="E42" s="150"/>
      <c r="F42" s="40"/>
      <c r="G42" s="40"/>
      <c r="I42" s="40"/>
      <c r="J42" s="57" t="e">
        <f t="shared" ref="J42:V42" si="17">J40/($E$36*$D$36)</f>
        <v>#DIV/0!</v>
      </c>
      <c r="K42" s="57" t="e">
        <f t="shared" si="17"/>
        <v>#DIV/0!</v>
      </c>
      <c r="L42" s="57" t="e">
        <f t="shared" si="17"/>
        <v>#DIV/0!</v>
      </c>
      <c r="M42" s="57" t="e">
        <f t="shared" si="17"/>
        <v>#DIV/0!</v>
      </c>
      <c r="N42" s="57" t="e">
        <f t="shared" si="17"/>
        <v>#DIV/0!</v>
      </c>
      <c r="O42" s="57" t="e">
        <f t="shared" si="17"/>
        <v>#DIV/0!</v>
      </c>
      <c r="P42" s="57" t="e">
        <f t="shared" si="17"/>
        <v>#DIV/0!</v>
      </c>
      <c r="Q42" s="57" t="e">
        <f t="shared" si="17"/>
        <v>#DIV/0!</v>
      </c>
      <c r="R42" s="57" t="e">
        <f t="shared" si="17"/>
        <v>#DIV/0!</v>
      </c>
      <c r="S42" s="57" t="e">
        <f t="shared" si="17"/>
        <v>#DIV/0!</v>
      </c>
      <c r="T42" s="57" t="e">
        <f t="shared" si="17"/>
        <v>#DIV/0!</v>
      </c>
      <c r="U42" s="57" t="e">
        <f t="shared" si="17"/>
        <v>#DIV/0!</v>
      </c>
      <c r="V42" s="57" t="e">
        <f t="shared" si="17"/>
        <v>#DIV/0!</v>
      </c>
      <c r="W42" s="72" t="e">
        <f>W40/($E$36*$D$36*13)</f>
        <v>#DIV/0!</v>
      </c>
    </row>
    <row r="43" spans="3:23" ht="15.75" x14ac:dyDescent="0.25">
      <c r="C43" s="24"/>
      <c r="D43" s="150"/>
      <c r="E43" s="150"/>
      <c r="F43" s="40"/>
      <c r="G43" s="40"/>
      <c r="I43" s="40"/>
      <c r="J43" s="57"/>
      <c r="K43" s="57"/>
      <c r="L43" s="57"/>
      <c r="M43" s="57"/>
      <c r="N43" s="57"/>
      <c r="O43" s="57"/>
      <c r="P43" s="57"/>
      <c r="Q43" s="57"/>
      <c r="R43" s="57"/>
      <c r="S43" s="57"/>
      <c r="T43" s="57"/>
      <c r="U43" s="57"/>
      <c r="V43" s="57"/>
      <c r="W43" s="72"/>
    </row>
    <row r="44" spans="3:23" ht="15.75" x14ac:dyDescent="0.25">
      <c r="C44" s="24" t="s">
        <v>310</v>
      </c>
      <c r="D44" s="150"/>
      <c r="E44" s="150"/>
      <c r="F44" s="40"/>
      <c r="G44" s="40"/>
      <c r="I44" s="40"/>
      <c r="J44" s="19">
        <f t="shared" ref="J44:V44" si="18">J29*J36</f>
        <v>0</v>
      </c>
      <c r="K44" s="19">
        <f t="shared" si="18"/>
        <v>0</v>
      </c>
      <c r="L44" s="19">
        <f t="shared" si="18"/>
        <v>0</v>
      </c>
      <c r="M44" s="19">
        <f t="shared" si="18"/>
        <v>0</v>
      </c>
      <c r="N44" s="19">
        <f t="shared" si="18"/>
        <v>0</v>
      </c>
      <c r="O44" s="19">
        <f t="shared" si="18"/>
        <v>0</v>
      </c>
      <c r="P44" s="19">
        <f t="shared" si="18"/>
        <v>0</v>
      </c>
      <c r="Q44" s="19">
        <f t="shared" si="18"/>
        <v>0</v>
      </c>
      <c r="R44" s="19">
        <f t="shared" si="18"/>
        <v>0</v>
      </c>
      <c r="S44" s="19">
        <f t="shared" si="18"/>
        <v>0</v>
      </c>
      <c r="T44" s="19">
        <f t="shared" si="18"/>
        <v>0</v>
      </c>
      <c r="U44" s="19">
        <f t="shared" si="18"/>
        <v>0</v>
      </c>
      <c r="V44" s="19">
        <f t="shared" si="18"/>
        <v>0</v>
      </c>
      <c r="W44" s="21">
        <f>SUM(J44:V44)</f>
        <v>0</v>
      </c>
    </row>
    <row r="45" spans="3:23" ht="15.75" x14ac:dyDescent="0.25">
      <c r="C45" s="24"/>
      <c r="D45" s="150"/>
      <c r="E45" s="150"/>
      <c r="F45" s="40"/>
      <c r="G45" s="40"/>
      <c r="I45" s="40"/>
      <c r="J45" s="57"/>
      <c r="K45" s="57"/>
      <c r="L45" s="57"/>
      <c r="M45" s="57"/>
      <c r="N45" s="57"/>
      <c r="O45" s="57"/>
      <c r="P45" s="57"/>
      <c r="Q45" s="57"/>
      <c r="R45" s="57"/>
      <c r="S45" s="57"/>
      <c r="T45" s="57"/>
      <c r="U45" s="57"/>
      <c r="V45" s="57"/>
      <c r="W45" s="72"/>
    </row>
    <row r="46" spans="3:23" ht="15.75" x14ac:dyDescent="0.25">
      <c r="C46" s="24" t="s">
        <v>311</v>
      </c>
      <c r="D46" s="150"/>
      <c r="E46" s="150"/>
      <c r="F46" s="40"/>
      <c r="G46" s="40"/>
      <c r="I46" s="40"/>
      <c r="J46" s="19">
        <f>J33*J40</f>
        <v>0</v>
      </c>
      <c r="K46" s="19">
        <f t="shared" ref="K46:V46" si="19">K33*K40</f>
        <v>0</v>
      </c>
      <c r="L46" s="19">
        <f t="shared" si="19"/>
        <v>0</v>
      </c>
      <c r="M46" s="19">
        <f t="shared" si="19"/>
        <v>0</v>
      </c>
      <c r="N46" s="19">
        <f t="shared" si="19"/>
        <v>0</v>
      </c>
      <c r="O46" s="19">
        <f t="shared" si="19"/>
        <v>0</v>
      </c>
      <c r="P46" s="19">
        <f t="shared" si="19"/>
        <v>0</v>
      </c>
      <c r="Q46" s="19">
        <f t="shared" si="19"/>
        <v>0</v>
      </c>
      <c r="R46" s="19">
        <f t="shared" si="19"/>
        <v>0</v>
      </c>
      <c r="S46" s="19">
        <f t="shared" si="19"/>
        <v>0</v>
      </c>
      <c r="T46" s="19">
        <f t="shared" si="19"/>
        <v>0</v>
      </c>
      <c r="U46" s="19">
        <f t="shared" si="19"/>
        <v>0</v>
      </c>
      <c r="V46" s="19">
        <f t="shared" si="19"/>
        <v>0</v>
      </c>
      <c r="W46" s="21">
        <f>SUM(J46:V46)</f>
        <v>0</v>
      </c>
    </row>
    <row r="47" spans="3:23" ht="15.75" x14ac:dyDescent="0.25">
      <c r="C47" s="24"/>
      <c r="D47" s="150"/>
      <c r="E47" s="150"/>
      <c r="F47" s="40"/>
      <c r="G47" s="40"/>
      <c r="I47" s="40"/>
      <c r="J47" s="19"/>
      <c r="K47" s="19"/>
      <c r="L47" s="19"/>
      <c r="M47" s="19"/>
      <c r="N47" s="19"/>
      <c r="O47" s="19"/>
      <c r="P47" s="19"/>
      <c r="Q47" s="19"/>
      <c r="R47" s="19"/>
      <c r="S47" s="19"/>
      <c r="T47" s="19"/>
      <c r="U47" s="19"/>
      <c r="V47" s="19"/>
      <c r="W47" s="21"/>
    </row>
    <row r="48" spans="3:23" ht="15.75" x14ac:dyDescent="0.25">
      <c r="C48" s="24" t="s">
        <v>128</v>
      </c>
      <c r="D48" s="150"/>
      <c r="E48" s="150"/>
      <c r="F48" s="40"/>
      <c r="G48" s="40"/>
      <c r="I48" s="40"/>
      <c r="J48" s="127" t="str">
        <f t="shared" ref="J48:V48" si="20">IF($E$31=0,"",IF(J46&gt;J44,"YES","NO"))</f>
        <v/>
      </c>
      <c r="K48" s="127" t="str">
        <f t="shared" si="20"/>
        <v/>
      </c>
      <c r="L48" s="127" t="str">
        <f t="shared" si="20"/>
        <v/>
      </c>
      <c r="M48" s="127" t="str">
        <f t="shared" si="20"/>
        <v/>
      </c>
      <c r="N48" s="127" t="str">
        <f t="shared" si="20"/>
        <v/>
      </c>
      <c r="O48" s="127" t="str">
        <f t="shared" si="20"/>
        <v/>
      </c>
      <c r="P48" s="127" t="str">
        <f t="shared" si="20"/>
        <v/>
      </c>
      <c r="Q48" s="127" t="str">
        <f t="shared" si="20"/>
        <v/>
      </c>
      <c r="R48" s="127" t="str">
        <f t="shared" si="20"/>
        <v/>
      </c>
      <c r="S48" s="127" t="str">
        <f t="shared" si="20"/>
        <v/>
      </c>
      <c r="T48" s="127" t="str">
        <f t="shared" si="20"/>
        <v/>
      </c>
      <c r="U48" s="127" t="str">
        <f t="shared" si="20"/>
        <v/>
      </c>
      <c r="V48" s="127" t="str">
        <f t="shared" si="20"/>
        <v/>
      </c>
      <c r="W48" s="21"/>
    </row>
    <row r="49" spans="3:23" ht="15.75" x14ac:dyDescent="0.25">
      <c r="C49" s="24"/>
      <c r="D49" s="150"/>
      <c r="E49" s="150"/>
      <c r="F49" s="40"/>
      <c r="G49" s="40"/>
      <c r="I49" s="40"/>
      <c r="J49" s="19"/>
      <c r="K49" s="19"/>
      <c r="L49" s="19"/>
      <c r="M49" s="19"/>
      <c r="N49" s="19"/>
      <c r="O49" s="19"/>
      <c r="P49" s="19"/>
      <c r="Q49" s="19"/>
      <c r="R49" s="19"/>
      <c r="S49" s="19"/>
      <c r="T49" s="19"/>
      <c r="U49" s="19"/>
      <c r="V49" s="19"/>
      <c r="W49" s="21"/>
    </row>
    <row r="50" spans="3:23" ht="15.75" x14ac:dyDescent="0.25">
      <c r="C50" s="24" t="s">
        <v>127</v>
      </c>
      <c r="D50" s="150"/>
      <c r="E50" s="150"/>
      <c r="F50" s="40"/>
      <c r="G50" s="40"/>
      <c r="I50" s="40"/>
      <c r="J50" s="125" t="e">
        <f>J46/J44-1</f>
        <v>#DIV/0!</v>
      </c>
      <c r="K50" s="125" t="e">
        <f t="shared" ref="K50:W50" si="21">K46/K44-1</f>
        <v>#DIV/0!</v>
      </c>
      <c r="L50" s="125" t="e">
        <f t="shared" si="21"/>
        <v>#DIV/0!</v>
      </c>
      <c r="M50" s="125" t="e">
        <f t="shared" si="21"/>
        <v>#DIV/0!</v>
      </c>
      <c r="N50" s="125" t="e">
        <f t="shared" si="21"/>
        <v>#DIV/0!</v>
      </c>
      <c r="O50" s="125" t="e">
        <f t="shared" si="21"/>
        <v>#DIV/0!</v>
      </c>
      <c r="P50" s="125" t="e">
        <f t="shared" si="21"/>
        <v>#DIV/0!</v>
      </c>
      <c r="Q50" s="125" t="e">
        <f t="shared" si="21"/>
        <v>#DIV/0!</v>
      </c>
      <c r="R50" s="125" t="e">
        <f t="shared" si="21"/>
        <v>#DIV/0!</v>
      </c>
      <c r="S50" s="125" t="e">
        <f t="shared" si="21"/>
        <v>#DIV/0!</v>
      </c>
      <c r="T50" s="125" t="e">
        <f t="shared" si="21"/>
        <v>#DIV/0!</v>
      </c>
      <c r="U50" s="125" t="e">
        <f t="shared" si="21"/>
        <v>#DIV/0!</v>
      </c>
      <c r="V50" s="125" t="e">
        <f t="shared" si="21"/>
        <v>#DIV/0!</v>
      </c>
      <c r="W50" s="126" t="e">
        <f t="shared" si="21"/>
        <v>#DIV/0!</v>
      </c>
    </row>
    <row r="51" spans="3:23" ht="15.75" x14ac:dyDescent="0.25">
      <c r="C51" s="24"/>
      <c r="D51" s="150"/>
      <c r="E51" s="150"/>
      <c r="F51" s="40"/>
      <c r="G51" s="40"/>
      <c r="I51" s="40"/>
      <c r="J51" s="125"/>
      <c r="K51" s="125"/>
      <c r="L51" s="125"/>
      <c r="M51" s="125"/>
      <c r="N51" s="125"/>
      <c r="O51" s="125"/>
      <c r="P51" s="125"/>
      <c r="Q51" s="125"/>
      <c r="R51" s="125"/>
      <c r="S51" s="125"/>
      <c r="T51" s="125"/>
      <c r="U51" s="125"/>
      <c r="V51" s="125"/>
      <c r="W51" s="126"/>
    </row>
    <row r="52" spans="3:23" ht="16.5" thickBot="1" x14ac:dyDescent="0.3">
      <c r="C52" s="23" t="s">
        <v>309</v>
      </c>
      <c r="D52" s="150"/>
      <c r="E52" s="150"/>
      <c r="F52" s="40"/>
      <c r="G52" s="40"/>
      <c r="I52" s="40"/>
      <c r="J52" s="19">
        <f>$E$53*J25</f>
        <v>500000</v>
      </c>
      <c r="K52" s="19">
        <f t="shared" ref="K52:V52" si="22">$E$53*K25</f>
        <v>500000</v>
      </c>
      <c r="L52" s="19">
        <f t="shared" si="22"/>
        <v>500000</v>
      </c>
      <c r="M52" s="19">
        <f t="shared" si="22"/>
        <v>500000</v>
      </c>
      <c r="N52" s="19">
        <f t="shared" si="22"/>
        <v>500000</v>
      </c>
      <c r="O52" s="19">
        <f t="shared" si="22"/>
        <v>500000</v>
      </c>
      <c r="P52" s="19">
        <f t="shared" si="22"/>
        <v>600000</v>
      </c>
      <c r="Q52" s="19">
        <f t="shared" si="22"/>
        <v>700000</v>
      </c>
      <c r="R52" s="19">
        <f t="shared" si="22"/>
        <v>400000</v>
      </c>
      <c r="S52" s="19">
        <f t="shared" si="22"/>
        <v>700000</v>
      </c>
      <c r="T52" s="19">
        <f t="shared" si="22"/>
        <v>800000</v>
      </c>
      <c r="U52" s="19">
        <f t="shared" si="22"/>
        <v>900000</v>
      </c>
      <c r="V52" s="19">
        <f t="shared" si="22"/>
        <v>1000000</v>
      </c>
      <c r="W52" s="21">
        <f>SUM(J52:V52)</f>
        <v>8100000</v>
      </c>
    </row>
    <row r="53" spans="3:23" ht="16.5" thickBot="1" x14ac:dyDescent="0.3">
      <c r="C53" s="24" t="s">
        <v>309</v>
      </c>
      <c r="D53" s="150"/>
      <c r="E53" s="58">
        <f>הנחות!J8</f>
        <v>1000000</v>
      </c>
      <c r="F53" s="40"/>
      <c r="G53" s="40"/>
      <c r="I53" s="40"/>
      <c r="J53" s="19">
        <f>$E$53*(J25+$E$38)</f>
        <v>500000</v>
      </c>
      <c r="K53" s="19">
        <f t="shared" ref="K53:V53" si="23">$E$53*(K25+$E$38)</f>
        <v>500000</v>
      </c>
      <c r="L53" s="19">
        <f t="shared" si="23"/>
        <v>500000</v>
      </c>
      <c r="M53" s="19">
        <f t="shared" si="23"/>
        <v>500000</v>
      </c>
      <c r="N53" s="19">
        <f t="shared" si="23"/>
        <v>500000</v>
      </c>
      <c r="O53" s="19">
        <f t="shared" si="23"/>
        <v>500000</v>
      </c>
      <c r="P53" s="19">
        <f t="shared" si="23"/>
        <v>600000</v>
      </c>
      <c r="Q53" s="19">
        <f t="shared" si="23"/>
        <v>700000</v>
      </c>
      <c r="R53" s="19">
        <f t="shared" si="23"/>
        <v>400000</v>
      </c>
      <c r="S53" s="19">
        <f t="shared" si="23"/>
        <v>700000</v>
      </c>
      <c r="T53" s="19">
        <f t="shared" si="23"/>
        <v>800000</v>
      </c>
      <c r="U53" s="19">
        <f t="shared" si="23"/>
        <v>900000</v>
      </c>
      <c r="V53" s="19">
        <f t="shared" si="23"/>
        <v>1000000</v>
      </c>
      <c r="W53" s="21">
        <f>SUM(J53:V53)</f>
        <v>8100000</v>
      </c>
    </row>
    <row r="54" spans="3:23" ht="15.75" x14ac:dyDescent="0.25">
      <c r="C54" s="24"/>
      <c r="D54" s="150"/>
      <c r="E54" s="150"/>
      <c r="F54" s="40"/>
      <c r="G54" s="40"/>
      <c r="I54" s="40"/>
      <c r="J54" s="125"/>
      <c r="K54" s="125"/>
      <c r="L54" s="125"/>
      <c r="M54" s="125"/>
      <c r="N54" s="125"/>
      <c r="O54" s="125"/>
      <c r="P54" s="125"/>
      <c r="Q54" s="125"/>
      <c r="R54" s="125"/>
      <c r="S54" s="125"/>
      <c r="T54" s="125"/>
      <c r="U54" s="125"/>
      <c r="V54" s="125"/>
      <c r="W54" s="126"/>
    </row>
    <row r="55" spans="3:23" ht="15.75" x14ac:dyDescent="0.25">
      <c r="C55" s="24" t="s">
        <v>125</v>
      </c>
      <c r="D55" s="150"/>
      <c r="E55" s="150"/>
      <c r="F55" s="40"/>
      <c r="G55" s="40"/>
      <c r="I55" s="40"/>
      <c r="J55" s="19">
        <f>SUM(J44,J52)</f>
        <v>500000</v>
      </c>
      <c r="K55" s="19">
        <f t="shared" ref="K55:V55" si="24">SUM(K44,K52)</f>
        <v>500000</v>
      </c>
      <c r="L55" s="19">
        <f t="shared" si="24"/>
        <v>500000</v>
      </c>
      <c r="M55" s="19">
        <f t="shared" si="24"/>
        <v>500000</v>
      </c>
      <c r="N55" s="19">
        <f t="shared" si="24"/>
        <v>500000</v>
      </c>
      <c r="O55" s="19">
        <f t="shared" si="24"/>
        <v>500000</v>
      </c>
      <c r="P55" s="19">
        <f t="shared" si="24"/>
        <v>600000</v>
      </c>
      <c r="Q55" s="19">
        <f t="shared" si="24"/>
        <v>700000</v>
      </c>
      <c r="R55" s="19">
        <f t="shared" si="24"/>
        <v>400000</v>
      </c>
      <c r="S55" s="19">
        <f t="shared" si="24"/>
        <v>700000</v>
      </c>
      <c r="T55" s="19">
        <f t="shared" si="24"/>
        <v>800000</v>
      </c>
      <c r="U55" s="19">
        <f t="shared" si="24"/>
        <v>900000</v>
      </c>
      <c r="V55" s="19">
        <f t="shared" si="24"/>
        <v>1000000</v>
      </c>
      <c r="W55" s="21">
        <f t="shared" ref="W55:W56" si="25">SUM(J55:V55)</f>
        <v>8100000</v>
      </c>
    </row>
    <row r="56" spans="3:23" ht="15.75" x14ac:dyDescent="0.25">
      <c r="C56" s="24"/>
      <c r="D56" s="150"/>
      <c r="E56" s="150"/>
      <c r="F56" s="40"/>
      <c r="G56" s="40"/>
      <c r="I56" s="40"/>
      <c r="J56" s="19">
        <f>SUM(J46,J53)</f>
        <v>500000</v>
      </c>
      <c r="K56" s="19">
        <f t="shared" ref="K56:V56" si="26">SUM(K46,K53)</f>
        <v>500000</v>
      </c>
      <c r="L56" s="19">
        <f t="shared" si="26"/>
        <v>500000</v>
      </c>
      <c r="M56" s="19">
        <f t="shared" si="26"/>
        <v>500000</v>
      </c>
      <c r="N56" s="19">
        <f t="shared" si="26"/>
        <v>500000</v>
      </c>
      <c r="O56" s="19">
        <f t="shared" si="26"/>
        <v>500000</v>
      </c>
      <c r="P56" s="19">
        <f t="shared" si="26"/>
        <v>600000</v>
      </c>
      <c r="Q56" s="19">
        <f t="shared" si="26"/>
        <v>700000</v>
      </c>
      <c r="R56" s="19">
        <f t="shared" si="26"/>
        <v>400000</v>
      </c>
      <c r="S56" s="19">
        <f t="shared" si="26"/>
        <v>700000</v>
      </c>
      <c r="T56" s="19">
        <f t="shared" si="26"/>
        <v>800000</v>
      </c>
      <c r="U56" s="19">
        <f t="shared" si="26"/>
        <v>900000</v>
      </c>
      <c r="V56" s="19">
        <f t="shared" si="26"/>
        <v>1000000</v>
      </c>
      <c r="W56" s="21">
        <f t="shared" si="25"/>
        <v>8100000</v>
      </c>
    </row>
    <row r="57" spans="3:23" ht="15.75" x14ac:dyDescent="0.25">
      <c r="C57" s="24" t="s">
        <v>126</v>
      </c>
      <c r="D57" s="150"/>
      <c r="E57" s="150"/>
      <c r="F57" s="40"/>
      <c r="G57" s="40"/>
      <c r="I57" s="40"/>
      <c r="J57" s="19"/>
      <c r="K57" s="19"/>
      <c r="L57" s="19"/>
      <c r="M57" s="19"/>
      <c r="N57" s="19"/>
      <c r="O57" s="19"/>
      <c r="P57" s="19"/>
      <c r="Q57" s="19"/>
      <c r="R57" s="19"/>
      <c r="S57" s="19"/>
      <c r="T57" s="19"/>
      <c r="U57" s="19"/>
      <c r="V57" s="19"/>
      <c r="W57" s="21"/>
    </row>
    <row r="58" spans="3:23" ht="15.75" x14ac:dyDescent="0.25">
      <c r="C58" s="24"/>
      <c r="D58" s="150"/>
      <c r="E58" s="150"/>
      <c r="F58" s="40"/>
      <c r="G58" s="40"/>
      <c r="I58" s="40"/>
      <c r="J58" s="125"/>
      <c r="K58" s="125"/>
      <c r="L58" s="125"/>
      <c r="M58" s="125"/>
      <c r="N58" s="125"/>
      <c r="O58" s="125"/>
      <c r="P58" s="125"/>
      <c r="Q58" s="125"/>
      <c r="R58" s="125"/>
      <c r="S58" s="125"/>
      <c r="T58" s="125"/>
      <c r="U58" s="125"/>
      <c r="V58" s="125"/>
      <c r="W58" s="126"/>
    </row>
    <row r="59" spans="3:23" ht="15.75" x14ac:dyDescent="0.25">
      <c r="C59" s="24" t="s">
        <v>63</v>
      </c>
      <c r="D59" s="150"/>
      <c r="E59" s="150"/>
      <c r="F59" s="40"/>
      <c r="G59" s="40"/>
      <c r="I59" s="40"/>
      <c r="J59" s="19">
        <f>IF(J24=1,J56,"")</f>
        <v>500000</v>
      </c>
      <c r="K59" s="19">
        <f t="shared" ref="K59:V59" si="27">IF(K24=1,K56,"")</f>
        <v>500000</v>
      </c>
      <c r="L59" s="19">
        <f t="shared" si="27"/>
        <v>500000</v>
      </c>
      <c r="M59" s="19">
        <f t="shared" si="27"/>
        <v>500000</v>
      </c>
      <c r="N59" s="19">
        <f t="shared" si="27"/>
        <v>500000</v>
      </c>
      <c r="O59" s="19">
        <f t="shared" si="27"/>
        <v>500000</v>
      </c>
      <c r="P59" s="19">
        <f t="shared" si="27"/>
        <v>600000</v>
      </c>
      <c r="Q59" s="19">
        <f t="shared" si="27"/>
        <v>700000</v>
      </c>
      <c r="R59" s="19">
        <f t="shared" si="27"/>
        <v>400000</v>
      </c>
      <c r="S59" s="19">
        <f t="shared" si="27"/>
        <v>700000</v>
      </c>
      <c r="T59" s="19">
        <f t="shared" si="27"/>
        <v>800000</v>
      </c>
      <c r="U59" s="19">
        <f t="shared" si="27"/>
        <v>900000</v>
      </c>
      <c r="V59" s="19">
        <f t="shared" si="27"/>
        <v>1000000</v>
      </c>
      <c r="W59" s="21">
        <f>SUM(J59:V59)</f>
        <v>8100000</v>
      </c>
    </row>
    <row r="60" spans="3:23" ht="15.75" thickBot="1" x14ac:dyDescent="0.3">
      <c r="C60" s="11"/>
      <c r="D60" s="2"/>
      <c r="E60" s="2"/>
      <c r="F60" s="2"/>
      <c r="G60" s="2"/>
      <c r="H60" s="2"/>
      <c r="I60" s="2"/>
      <c r="J60" s="2"/>
      <c r="K60" s="2"/>
      <c r="L60" s="2"/>
      <c r="M60" s="2"/>
      <c r="N60" s="2"/>
      <c r="O60" s="2"/>
      <c r="P60" s="2"/>
      <c r="Q60" s="2"/>
      <c r="R60" s="2"/>
      <c r="S60" s="2"/>
      <c r="T60" s="2"/>
      <c r="U60" s="2"/>
      <c r="V60" s="2"/>
      <c r="W60" s="41"/>
    </row>
    <row r="61" spans="3:23" ht="15.75" thickBot="1" x14ac:dyDescent="0.3">
      <c r="C61" s="1"/>
      <c r="D61" s="1"/>
      <c r="E61" s="1"/>
      <c r="F61" s="1"/>
      <c r="G61" s="1"/>
      <c r="H61" s="1"/>
      <c r="I61" s="1"/>
      <c r="J61" s="1"/>
      <c r="K61" s="1"/>
      <c r="L61" s="1"/>
      <c r="M61" s="1"/>
      <c r="N61" s="1"/>
      <c r="O61" s="1"/>
      <c r="P61" s="1"/>
      <c r="Q61" s="1"/>
      <c r="R61" s="1"/>
      <c r="S61" s="1"/>
      <c r="T61" s="1"/>
      <c r="U61" s="1"/>
      <c r="V61" s="1"/>
      <c r="W61" s="121"/>
    </row>
    <row r="62" spans="3:23" ht="15.75" x14ac:dyDescent="0.25">
      <c r="C62" s="12" t="s">
        <v>267</v>
      </c>
      <c r="D62" s="34"/>
      <c r="E62" s="34"/>
      <c r="F62" s="34"/>
      <c r="G62" s="34"/>
      <c r="H62" s="34"/>
      <c r="I62" s="34"/>
      <c r="J62" s="34">
        <f>הנחות!F6</f>
        <v>43983</v>
      </c>
      <c r="K62" s="34">
        <f>EDATE(J62,1)</f>
        <v>44013</v>
      </c>
      <c r="L62" s="34">
        <f t="shared" ref="L62:V62" si="28">EDATE(K62,1)</f>
        <v>44044</v>
      </c>
      <c r="M62" s="34">
        <f t="shared" si="28"/>
        <v>44075</v>
      </c>
      <c r="N62" s="34">
        <f t="shared" si="28"/>
        <v>44105</v>
      </c>
      <c r="O62" s="34">
        <f t="shared" si="28"/>
        <v>44136</v>
      </c>
      <c r="P62" s="34">
        <f t="shared" si="28"/>
        <v>44166</v>
      </c>
      <c r="Q62" s="34">
        <f t="shared" si="28"/>
        <v>44197</v>
      </c>
      <c r="R62" s="34">
        <f t="shared" si="28"/>
        <v>44228</v>
      </c>
      <c r="S62" s="34">
        <f t="shared" si="28"/>
        <v>44256</v>
      </c>
      <c r="T62" s="34">
        <f t="shared" si="28"/>
        <v>44287</v>
      </c>
      <c r="U62" s="34">
        <f t="shared" si="28"/>
        <v>44317</v>
      </c>
      <c r="V62" s="34">
        <f t="shared" si="28"/>
        <v>44348</v>
      </c>
      <c r="W62" s="20" t="s">
        <v>23</v>
      </c>
    </row>
    <row r="63" spans="3:23" ht="16.5" thickBot="1" x14ac:dyDescent="0.3">
      <c r="C63" s="24" t="s">
        <v>130</v>
      </c>
      <c r="D63" s="150"/>
      <c r="E63" s="150"/>
      <c r="F63" s="40"/>
      <c r="G63" s="40"/>
      <c r="H63" s="71"/>
      <c r="I63" s="40"/>
      <c r="J63" s="19"/>
      <c r="K63" s="19"/>
      <c r="L63" s="19"/>
      <c r="M63" s="19"/>
      <c r="N63" s="19"/>
      <c r="O63" s="19"/>
      <c r="P63" s="19"/>
      <c r="Q63" s="19"/>
      <c r="R63" s="19"/>
      <c r="S63" s="19"/>
      <c r="T63" s="19"/>
      <c r="U63" s="19"/>
      <c r="V63" s="19"/>
      <c r="W63" s="21"/>
    </row>
    <row r="64" spans="3:23" ht="16.5" thickBot="1" x14ac:dyDescent="0.3">
      <c r="C64" s="24" t="str">
        <f>IF(E64="ON",C23,C2)</f>
        <v>הכנסות - TOP DOWN</v>
      </c>
      <c r="D64" s="150"/>
      <c r="E64" s="128" t="str">
        <f>IF(W44&gt;0,"ON","OFF")</f>
        <v>OFF</v>
      </c>
      <c r="F64" s="40"/>
      <c r="G64" s="40"/>
      <c r="I64" s="40"/>
      <c r="J64" s="19">
        <f t="shared" ref="J64:V64" si="29">IF($E$64="on",J59,J20)</f>
        <v>1750000</v>
      </c>
      <c r="K64" s="19">
        <f t="shared" si="29"/>
        <v>1750000</v>
      </c>
      <c r="L64" s="19">
        <f t="shared" si="29"/>
        <v>1750000</v>
      </c>
      <c r="M64" s="19">
        <f t="shared" si="29"/>
        <v>1750000</v>
      </c>
      <c r="N64" s="19">
        <f t="shared" si="29"/>
        <v>1750000</v>
      </c>
      <c r="O64" s="19">
        <f t="shared" si="29"/>
        <v>1750000</v>
      </c>
      <c r="P64" s="19">
        <f t="shared" si="29"/>
        <v>2100000</v>
      </c>
      <c r="Q64" s="19">
        <f t="shared" si="29"/>
        <v>2450000</v>
      </c>
      <c r="R64" s="19">
        <f t="shared" si="29"/>
        <v>1400000</v>
      </c>
      <c r="S64" s="19">
        <f t="shared" si="29"/>
        <v>2450000</v>
      </c>
      <c r="T64" s="19">
        <f t="shared" si="29"/>
        <v>2800000</v>
      </c>
      <c r="U64" s="19">
        <f t="shared" si="29"/>
        <v>3150000</v>
      </c>
      <c r="V64" s="19">
        <f t="shared" si="29"/>
        <v>3500000</v>
      </c>
      <c r="W64" s="21">
        <f>SUM(J64:V64)</f>
        <v>28350000</v>
      </c>
    </row>
    <row r="65" spans="3:23" ht="15.75" thickBot="1" x14ac:dyDescent="0.3">
      <c r="C65" s="11"/>
      <c r="D65" s="2"/>
      <c r="E65" s="2"/>
      <c r="F65" s="2"/>
      <c r="G65" s="2"/>
      <c r="H65" s="2"/>
      <c r="I65" s="2"/>
      <c r="J65" s="2"/>
      <c r="K65" s="2"/>
      <c r="L65" s="2"/>
      <c r="M65" s="2"/>
      <c r="N65" s="2"/>
      <c r="O65" s="2"/>
      <c r="P65" s="2"/>
      <c r="Q65" s="2"/>
      <c r="R65" s="2"/>
      <c r="S65" s="2"/>
      <c r="T65" s="2"/>
      <c r="U65" s="2"/>
      <c r="V65" s="2"/>
      <c r="W65" s="41">
        <f t="array" ref="W65">AVERAGE(J64:V64)</f>
        <v>2180769.230769231</v>
      </c>
    </row>
    <row r="66" spans="3:23" ht="15.75" thickBot="1" x14ac:dyDescent="0.3"/>
    <row r="67" spans="3:23" ht="15.75" x14ac:dyDescent="0.25">
      <c r="C67" s="12" t="s">
        <v>268</v>
      </c>
      <c r="D67" s="34"/>
      <c r="E67" s="34"/>
      <c r="F67" s="34"/>
      <c r="G67" s="34"/>
      <c r="H67" s="34"/>
      <c r="I67" s="34"/>
      <c r="J67" s="34">
        <f>הנחות!F6</f>
        <v>43983</v>
      </c>
      <c r="K67" s="34">
        <f>EDATE(J67,1)</f>
        <v>44013</v>
      </c>
      <c r="L67" s="34">
        <f t="shared" ref="L67:V67" si="30">EDATE(K67,1)</f>
        <v>44044</v>
      </c>
      <c r="M67" s="34">
        <f t="shared" si="30"/>
        <v>44075</v>
      </c>
      <c r="N67" s="34">
        <f t="shared" si="30"/>
        <v>44105</v>
      </c>
      <c r="O67" s="34">
        <f t="shared" si="30"/>
        <v>44136</v>
      </c>
      <c r="P67" s="34">
        <f t="shared" si="30"/>
        <v>44166</v>
      </c>
      <c r="Q67" s="34">
        <f t="shared" si="30"/>
        <v>44197</v>
      </c>
      <c r="R67" s="34">
        <f t="shared" si="30"/>
        <v>44228</v>
      </c>
      <c r="S67" s="34">
        <f t="shared" si="30"/>
        <v>44256</v>
      </c>
      <c r="T67" s="34">
        <f t="shared" si="30"/>
        <v>44287</v>
      </c>
      <c r="U67" s="34">
        <f t="shared" si="30"/>
        <v>44317</v>
      </c>
      <c r="V67" s="34">
        <f t="shared" si="30"/>
        <v>44348</v>
      </c>
      <c r="W67" s="20" t="s">
        <v>23</v>
      </c>
    </row>
    <row r="68" spans="3:23" ht="16.5" thickBot="1" x14ac:dyDescent="0.3">
      <c r="C68" s="24" t="s">
        <v>130</v>
      </c>
      <c r="D68" s="150"/>
      <c r="E68" s="150"/>
      <c r="F68" s="40"/>
      <c r="G68" s="40"/>
      <c r="H68" s="71"/>
      <c r="I68" s="40"/>
      <c r="J68" s="19"/>
      <c r="K68" s="19"/>
      <c r="L68" s="19"/>
      <c r="M68" s="19"/>
      <c r="N68" s="19"/>
      <c r="O68" s="19"/>
      <c r="P68" s="19"/>
      <c r="Q68" s="19"/>
      <c r="R68" s="19"/>
      <c r="S68" s="19"/>
      <c r="T68" s="19"/>
      <c r="U68" s="19"/>
      <c r="V68" s="19"/>
      <c r="W68" s="21"/>
    </row>
    <row r="69" spans="3:23" ht="16.5" thickBot="1" x14ac:dyDescent="0.3">
      <c r="C69" s="24" t="str">
        <f>IF(E64="ON",C23,C2)</f>
        <v>הכנסות - TOP DOWN</v>
      </c>
      <c r="D69" s="150"/>
      <c r="E69" s="128" t="str">
        <f>IF(W44&gt;0,"ON","OFF")</f>
        <v>OFF</v>
      </c>
      <c r="F69" s="40"/>
      <c r="G69" s="40"/>
      <c r="I69" s="40"/>
      <c r="J69" s="19">
        <f>IF($E$64="on",J56,J17)</f>
        <v>1750000</v>
      </c>
      <c r="K69" s="19">
        <f t="shared" ref="K69:V69" si="31">IF($E$64="on",K56,K17)</f>
        <v>1750000</v>
      </c>
      <c r="L69" s="19">
        <f t="shared" si="31"/>
        <v>1750000</v>
      </c>
      <c r="M69" s="19">
        <f t="shared" si="31"/>
        <v>1750000</v>
      </c>
      <c r="N69" s="19">
        <f t="shared" si="31"/>
        <v>1750000</v>
      </c>
      <c r="O69" s="19">
        <f t="shared" si="31"/>
        <v>1750000</v>
      </c>
      <c r="P69" s="19">
        <f t="shared" si="31"/>
        <v>2100000</v>
      </c>
      <c r="Q69" s="19">
        <f t="shared" si="31"/>
        <v>2450000</v>
      </c>
      <c r="R69" s="19">
        <f t="shared" si="31"/>
        <v>1400000</v>
      </c>
      <c r="S69" s="19">
        <f t="shared" si="31"/>
        <v>2450000</v>
      </c>
      <c r="T69" s="19">
        <f t="shared" si="31"/>
        <v>2800000</v>
      </c>
      <c r="U69" s="19">
        <f t="shared" si="31"/>
        <v>3150000</v>
      </c>
      <c r="V69" s="19">
        <f t="shared" si="31"/>
        <v>3500000</v>
      </c>
      <c r="W69" s="21">
        <f>SUM(J69:V69)</f>
        <v>28350000</v>
      </c>
    </row>
    <row r="70" spans="3:23" ht="15.75" thickBot="1" x14ac:dyDescent="0.3">
      <c r="C70" s="11"/>
      <c r="D70" s="2"/>
      <c r="E70" s="2"/>
      <c r="F70" s="2"/>
      <c r="G70" s="2"/>
      <c r="H70" s="2"/>
      <c r="I70" s="2"/>
      <c r="J70" s="2"/>
      <c r="K70" s="2"/>
      <c r="L70" s="2"/>
      <c r="M70" s="2"/>
      <c r="N70" s="2"/>
      <c r="O70" s="2"/>
      <c r="P70" s="2"/>
      <c r="Q70" s="2"/>
      <c r="R70" s="2"/>
      <c r="S70" s="2"/>
      <c r="T70" s="2"/>
      <c r="U70" s="2"/>
      <c r="V70" s="2"/>
      <c r="W70" s="41">
        <f t="array" ref="W70">AVERAGE(J69:V69)</f>
        <v>2180769.230769231</v>
      </c>
    </row>
    <row r="74" spans="3:23" x14ac:dyDescent="0.25">
      <c r="J74" s="296"/>
      <c r="K74" s="296"/>
      <c r="L74" s="296"/>
      <c r="M74" s="296"/>
      <c r="N74" s="296"/>
      <c r="O74" s="296"/>
      <c r="P74" s="296"/>
      <c r="Q74" s="296"/>
      <c r="R74" s="296"/>
      <c r="S74" s="296"/>
      <c r="T74" s="296"/>
      <c r="U74" s="296"/>
      <c r="V74" s="29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W129"/>
  <sheetViews>
    <sheetView showGridLines="0" rightToLeft="1" topLeftCell="A83" workbookViewId="0">
      <selection activeCell="J93" sqref="J93"/>
    </sheetView>
  </sheetViews>
  <sheetFormatPr defaultRowHeight="15" outlineLevelRow="1" x14ac:dyDescent="0.25"/>
  <cols>
    <col min="1" max="1" width="3" style="14" customWidth="1"/>
    <col min="2" max="2" width="1" style="14" customWidth="1"/>
    <col min="3" max="3" width="60.42578125" style="14" customWidth="1"/>
    <col min="4" max="9" width="7.85546875" style="14" customWidth="1"/>
    <col min="10" max="10" width="10.28515625" style="14" bestFit="1" customWidth="1"/>
    <col min="11" max="22" width="10" style="14" bestFit="1" customWidth="1"/>
    <col min="23" max="23" width="13.85546875" style="14" bestFit="1" customWidth="1"/>
    <col min="24" max="16384" width="9.140625" style="14"/>
  </cols>
  <sheetData>
    <row r="1" spans="3:23" ht="15.75" thickBot="1" x14ac:dyDescent="0.3"/>
    <row r="2" spans="3:23" ht="16.5" thickBot="1" x14ac:dyDescent="0.3">
      <c r="C2" s="22" t="s">
        <v>131</v>
      </c>
      <c r="D2" s="34"/>
      <c r="E2" s="130" t="s">
        <v>132</v>
      </c>
      <c r="F2" s="131" t="s">
        <v>133</v>
      </c>
      <c r="G2" s="131" t="s">
        <v>134</v>
      </c>
      <c r="H2" s="132" t="s">
        <v>135</v>
      </c>
      <c r="I2" s="132" t="s">
        <v>113</v>
      </c>
      <c r="J2" s="34">
        <f>הנחות!F6</f>
        <v>43983</v>
      </c>
      <c r="K2" s="34">
        <f>EDATE(J2,1)</f>
        <v>44013</v>
      </c>
      <c r="L2" s="34">
        <f t="shared" ref="L2:V2" si="0">EDATE(K2,1)</f>
        <v>44044</v>
      </c>
      <c r="M2" s="34">
        <f t="shared" si="0"/>
        <v>44075</v>
      </c>
      <c r="N2" s="34">
        <f t="shared" si="0"/>
        <v>44105</v>
      </c>
      <c r="O2" s="34">
        <f t="shared" si="0"/>
        <v>44136</v>
      </c>
      <c r="P2" s="34">
        <f t="shared" si="0"/>
        <v>44166</v>
      </c>
      <c r="Q2" s="34">
        <f t="shared" si="0"/>
        <v>44197</v>
      </c>
      <c r="R2" s="34">
        <f t="shared" si="0"/>
        <v>44228</v>
      </c>
      <c r="S2" s="34">
        <f t="shared" si="0"/>
        <v>44256</v>
      </c>
      <c r="T2" s="34">
        <f t="shared" si="0"/>
        <v>44287</v>
      </c>
      <c r="U2" s="34">
        <f t="shared" si="0"/>
        <v>44317</v>
      </c>
      <c r="V2" s="34">
        <f t="shared" si="0"/>
        <v>44348</v>
      </c>
      <c r="W2" s="20" t="s">
        <v>23</v>
      </c>
    </row>
    <row r="3" spans="3:23" ht="16.5" thickBot="1" x14ac:dyDescent="0.3">
      <c r="C3" s="129" t="s">
        <v>62</v>
      </c>
      <c r="D3" s="133"/>
      <c r="E3" s="134">
        <f>Dashboard!D4</f>
        <v>43983</v>
      </c>
      <c r="G3" s="135"/>
      <c r="H3" s="135"/>
      <c r="I3" s="133"/>
      <c r="J3" s="136">
        <f t="shared" ref="J3:V3" si="1">IF(J2&gt;=$E$3,1,0)</f>
        <v>1</v>
      </c>
      <c r="K3" s="136">
        <f t="shared" si="1"/>
        <v>1</v>
      </c>
      <c r="L3" s="136">
        <f t="shared" si="1"/>
        <v>1</v>
      </c>
      <c r="M3" s="136">
        <f t="shared" si="1"/>
        <v>1</v>
      </c>
      <c r="N3" s="136">
        <f t="shared" si="1"/>
        <v>1</v>
      </c>
      <c r="O3" s="136">
        <f t="shared" si="1"/>
        <v>1</v>
      </c>
      <c r="P3" s="136">
        <f t="shared" si="1"/>
        <v>1</v>
      </c>
      <c r="Q3" s="136">
        <f t="shared" si="1"/>
        <v>1</v>
      </c>
      <c r="R3" s="136">
        <f t="shared" si="1"/>
        <v>1</v>
      </c>
      <c r="S3" s="136">
        <f t="shared" si="1"/>
        <v>1</v>
      </c>
      <c r="T3" s="136">
        <f t="shared" si="1"/>
        <v>1</v>
      </c>
      <c r="U3" s="136">
        <f t="shared" si="1"/>
        <v>1</v>
      </c>
      <c r="V3" s="136">
        <f t="shared" si="1"/>
        <v>1</v>
      </c>
      <c r="W3" s="137"/>
    </row>
    <row r="4" spans="3:23" ht="16.5" thickBot="1" x14ac:dyDescent="0.3">
      <c r="C4" s="24" t="s">
        <v>46</v>
      </c>
      <c r="D4" s="133"/>
      <c r="E4" s="133"/>
      <c r="F4" s="138"/>
      <c r="G4" s="138"/>
      <c r="H4" s="138"/>
      <c r="I4" s="133"/>
      <c r="J4" s="139">
        <f t="array" ref="J4:V4">TRANSPOSE(הנחות!J13:J25)</f>
        <v>0.5</v>
      </c>
      <c r="K4" s="139">
        <v>0.5</v>
      </c>
      <c r="L4" s="139">
        <v>0.5</v>
      </c>
      <c r="M4" s="139">
        <v>0.5</v>
      </c>
      <c r="N4" s="139">
        <v>0.5</v>
      </c>
      <c r="O4" s="139">
        <v>0.5</v>
      </c>
      <c r="P4" s="139">
        <v>0.6</v>
      </c>
      <c r="Q4" s="139">
        <v>0.7</v>
      </c>
      <c r="R4" s="139">
        <v>0.4</v>
      </c>
      <c r="S4" s="139">
        <v>0.7</v>
      </c>
      <c r="T4" s="139">
        <v>0.8</v>
      </c>
      <c r="U4" s="139">
        <v>0.9</v>
      </c>
      <c r="V4" s="139">
        <v>1</v>
      </c>
      <c r="W4" s="137"/>
    </row>
    <row r="5" spans="3:23" ht="16.5" thickBot="1" x14ac:dyDescent="0.3">
      <c r="C5" s="24" t="s">
        <v>51</v>
      </c>
      <c r="D5" s="133"/>
      <c r="E5" s="140">
        <f>הכנסות!E11</f>
        <v>0</v>
      </c>
      <c r="F5" s="133"/>
      <c r="G5" s="133"/>
      <c r="H5" s="133"/>
      <c r="I5" s="133"/>
      <c r="J5" s="139">
        <f>$E$5</f>
        <v>0</v>
      </c>
      <c r="K5" s="139">
        <f t="shared" ref="K5:V5" si="2">$E$5</f>
        <v>0</v>
      </c>
      <c r="L5" s="139">
        <f t="shared" si="2"/>
        <v>0</v>
      </c>
      <c r="M5" s="139">
        <f t="shared" si="2"/>
        <v>0</v>
      </c>
      <c r="N5" s="139">
        <f t="shared" si="2"/>
        <v>0</v>
      </c>
      <c r="O5" s="139">
        <f t="shared" si="2"/>
        <v>0</v>
      </c>
      <c r="P5" s="139">
        <f t="shared" si="2"/>
        <v>0</v>
      </c>
      <c r="Q5" s="139">
        <f t="shared" si="2"/>
        <v>0</v>
      </c>
      <c r="R5" s="139">
        <f t="shared" si="2"/>
        <v>0</v>
      </c>
      <c r="S5" s="139">
        <f t="shared" si="2"/>
        <v>0</v>
      </c>
      <c r="T5" s="139">
        <f t="shared" si="2"/>
        <v>0</v>
      </c>
      <c r="U5" s="139">
        <f t="shared" si="2"/>
        <v>0</v>
      </c>
      <c r="V5" s="139">
        <f t="shared" si="2"/>
        <v>0</v>
      </c>
      <c r="W5" s="137"/>
    </row>
    <row r="6" spans="3:23" ht="15.75" x14ac:dyDescent="0.25">
      <c r="C6" s="74" t="s">
        <v>73</v>
      </c>
      <c r="D6" s="133"/>
      <c r="E6" s="133"/>
      <c r="F6" s="133"/>
      <c r="G6" s="133"/>
      <c r="H6" s="133"/>
      <c r="I6" s="133"/>
      <c r="J6" s="139">
        <f t="shared" ref="J6:V6" si="3">MIN(SUM(J4:J5),100%)</f>
        <v>0.5</v>
      </c>
      <c r="K6" s="139">
        <f t="shared" si="3"/>
        <v>0.5</v>
      </c>
      <c r="L6" s="139">
        <f t="shared" si="3"/>
        <v>0.5</v>
      </c>
      <c r="M6" s="139">
        <f t="shared" si="3"/>
        <v>0.5</v>
      </c>
      <c r="N6" s="139">
        <f t="shared" si="3"/>
        <v>0.5</v>
      </c>
      <c r="O6" s="139">
        <f t="shared" si="3"/>
        <v>0.5</v>
      </c>
      <c r="P6" s="139">
        <f t="shared" si="3"/>
        <v>0.6</v>
      </c>
      <c r="Q6" s="139">
        <f t="shared" si="3"/>
        <v>0.7</v>
      </c>
      <c r="R6" s="139">
        <f t="shared" si="3"/>
        <v>0.4</v>
      </c>
      <c r="S6" s="139">
        <f t="shared" si="3"/>
        <v>0.7</v>
      </c>
      <c r="T6" s="139">
        <f t="shared" si="3"/>
        <v>0.8</v>
      </c>
      <c r="U6" s="139">
        <f t="shared" si="3"/>
        <v>0.9</v>
      </c>
      <c r="V6" s="139">
        <f t="shared" si="3"/>
        <v>1</v>
      </c>
      <c r="W6" s="137"/>
    </row>
    <row r="7" spans="3:23" ht="15.75" x14ac:dyDescent="0.25">
      <c r="C7" s="24"/>
      <c r="D7" s="133"/>
      <c r="E7" s="133"/>
      <c r="F7" s="133"/>
      <c r="G7" s="133"/>
      <c r="H7" s="133"/>
      <c r="I7" s="133"/>
      <c r="J7" s="136"/>
      <c r="K7" s="136"/>
      <c r="L7" s="136"/>
      <c r="M7" s="136"/>
      <c r="N7" s="136"/>
      <c r="O7" s="136"/>
      <c r="P7" s="136"/>
      <c r="Q7" s="136"/>
      <c r="R7" s="136"/>
      <c r="S7" s="136"/>
      <c r="T7" s="136"/>
      <c r="U7" s="136"/>
      <c r="V7" s="136"/>
      <c r="W7" s="137"/>
    </row>
    <row r="8" spans="3:23" ht="16.5" thickBot="1" x14ac:dyDescent="0.3">
      <c r="C8" s="23" t="s">
        <v>40</v>
      </c>
      <c r="D8" s="133"/>
      <c r="E8" s="133"/>
      <c r="F8" s="138"/>
      <c r="G8" s="138"/>
      <c r="H8" s="138"/>
      <c r="I8" s="138"/>
      <c r="J8" s="138"/>
      <c r="K8" s="138"/>
      <c r="L8" s="138"/>
      <c r="M8" s="138"/>
      <c r="N8" s="138"/>
      <c r="O8" s="138"/>
      <c r="P8" s="138"/>
      <c r="Q8" s="138"/>
      <c r="R8" s="138"/>
      <c r="S8" s="138"/>
      <c r="T8" s="138"/>
      <c r="U8" s="138"/>
      <c r="V8" s="138"/>
      <c r="W8" s="137"/>
    </row>
    <row r="9" spans="3:23" ht="16.5" thickBot="1" x14ac:dyDescent="0.3">
      <c r="C9" s="17" t="str">
        <f>IF(הנחות!M6&lt;&gt;"",הנחות!M6,"")</f>
        <v>שכירות</v>
      </c>
      <c r="D9" s="138"/>
      <c r="E9" s="141">
        <f>IF(הנחות!O6&lt;&gt;"",הנחות!O6,"")</f>
        <v>245000.00000000003</v>
      </c>
      <c r="F9" s="142" t="str">
        <f>IF(הנחות!Q6&lt;&gt;"",הנחות!Q6,"")</f>
        <v>כן</v>
      </c>
      <c r="G9" s="142" t="str">
        <f>IF(הנחות!S6&lt;&gt;"",הנחות!S6,"")</f>
        <v>הנהלה וכלליות</v>
      </c>
      <c r="H9" s="142" t="str">
        <f>IF(הנחות!U6&lt;&gt;"",הנחות!U6,"")</f>
        <v>כן</v>
      </c>
      <c r="I9" s="142" t="str">
        <f>IF(הנחות!W6&lt;&gt;"",הנחות!W6,"")</f>
        <v>לא</v>
      </c>
      <c r="J9" s="136">
        <f>$E$9</f>
        <v>245000.00000000003</v>
      </c>
      <c r="K9" s="136">
        <f t="shared" ref="K9:V9" si="4">$E$9</f>
        <v>245000.00000000003</v>
      </c>
      <c r="L9" s="136">
        <f t="shared" si="4"/>
        <v>245000.00000000003</v>
      </c>
      <c r="M9" s="136">
        <f t="shared" si="4"/>
        <v>245000.00000000003</v>
      </c>
      <c r="N9" s="136">
        <f t="shared" si="4"/>
        <v>245000.00000000003</v>
      </c>
      <c r="O9" s="136">
        <f t="shared" si="4"/>
        <v>245000.00000000003</v>
      </c>
      <c r="P9" s="136">
        <f t="shared" si="4"/>
        <v>245000.00000000003</v>
      </c>
      <c r="Q9" s="136">
        <f t="shared" si="4"/>
        <v>245000.00000000003</v>
      </c>
      <c r="R9" s="136">
        <f t="shared" si="4"/>
        <v>245000.00000000003</v>
      </c>
      <c r="S9" s="136">
        <f t="shared" si="4"/>
        <v>245000.00000000003</v>
      </c>
      <c r="T9" s="136">
        <f t="shared" si="4"/>
        <v>245000.00000000003</v>
      </c>
      <c r="U9" s="136">
        <f t="shared" si="4"/>
        <v>245000.00000000003</v>
      </c>
      <c r="V9" s="136">
        <f t="shared" si="4"/>
        <v>245000.00000000003</v>
      </c>
      <c r="W9" s="137">
        <f>SUM(J9:V9)</f>
        <v>3185000.0000000005</v>
      </c>
    </row>
    <row r="10" spans="3:23" ht="16.5" thickBot="1" x14ac:dyDescent="0.3">
      <c r="C10" s="17" t="str">
        <f>IF(הנחות!M7&lt;&gt;"",הנחות!M7,"")</f>
        <v>ארנונה</v>
      </c>
      <c r="D10" s="138"/>
      <c r="E10" s="141">
        <f>IF(הנחות!O7&lt;&gt;"",הנחות!O7,"")</f>
        <v>105000</v>
      </c>
      <c r="F10" s="142" t="str">
        <f>IF(הנחות!Q7&lt;&gt;"",הנחות!Q7,"")</f>
        <v>כן</v>
      </c>
      <c r="G10" s="142" t="str">
        <f>IF(הנחות!S7&lt;&gt;"",הנחות!S7,"")</f>
        <v>הנהלה וכלליות</v>
      </c>
      <c r="H10" s="142" t="str">
        <f>IF(הנחות!U7&lt;&gt;"",הנחות!U7,"")</f>
        <v>כן</v>
      </c>
      <c r="I10" s="142" t="str">
        <f>IF(הנחות!W7&lt;&gt;"",הנחות!W7,"")</f>
        <v>לא</v>
      </c>
      <c r="J10" s="136">
        <f>$E$10</f>
        <v>105000</v>
      </c>
      <c r="K10" s="136">
        <f t="shared" ref="K10:V10" si="5">$E$10</f>
        <v>105000</v>
      </c>
      <c r="L10" s="136">
        <f t="shared" si="5"/>
        <v>105000</v>
      </c>
      <c r="M10" s="136">
        <f t="shared" si="5"/>
        <v>105000</v>
      </c>
      <c r="N10" s="136">
        <f t="shared" si="5"/>
        <v>105000</v>
      </c>
      <c r="O10" s="136">
        <f t="shared" si="5"/>
        <v>105000</v>
      </c>
      <c r="P10" s="136">
        <f t="shared" si="5"/>
        <v>105000</v>
      </c>
      <c r="Q10" s="136">
        <f t="shared" si="5"/>
        <v>105000</v>
      </c>
      <c r="R10" s="136">
        <f t="shared" si="5"/>
        <v>105000</v>
      </c>
      <c r="S10" s="136">
        <f t="shared" si="5"/>
        <v>105000</v>
      </c>
      <c r="T10" s="136">
        <f t="shared" si="5"/>
        <v>105000</v>
      </c>
      <c r="U10" s="136">
        <f t="shared" si="5"/>
        <v>105000</v>
      </c>
      <c r="V10" s="136">
        <f t="shared" si="5"/>
        <v>105000</v>
      </c>
      <c r="W10" s="137">
        <f t="shared" ref="W10:W32" si="6">SUM(J10:V10)</f>
        <v>1365000</v>
      </c>
    </row>
    <row r="11" spans="3:23" ht="16.5" thickBot="1" x14ac:dyDescent="0.3">
      <c r="C11" s="17" t="str">
        <f>IF(הנחות!M8&lt;&gt;"",הנחות!M8,"")</f>
        <v>שכר בלתי נמנע</v>
      </c>
      <c r="D11" s="138"/>
      <c r="E11" s="141">
        <f>IF(הנחות!O8&lt;&gt;"",הנחות!O8,"")</f>
        <v>140000</v>
      </c>
      <c r="F11" s="142" t="str">
        <f>IF(הנחות!Q8&lt;&gt;"",הנחות!Q8,"")</f>
        <v>כן</v>
      </c>
      <c r="G11" s="142" t="str">
        <f>IF(הנחות!S8&lt;&gt;"",הנחות!S8,"")</f>
        <v>עלות המכר</v>
      </c>
      <c r="H11" s="142" t="str">
        <f>IF(הנחות!U8&lt;&gt;"",הנחות!U8,"")</f>
        <v>כן</v>
      </c>
      <c r="I11" s="142" t="str">
        <f>IF(הנחות!W8&lt;&gt;"",הנחות!W8,"")</f>
        <v>לא</v>
      </c>
      <c r="J11" s="136">
        <f>$E$11</f>
        <v>140000</v>
      </c>
      <c r="K11" s="136">
        <f t="shared" ref="K11:V11" si="7">$E$11</f>
        <v>140000</v>
      </c>
      <c r="L11" s="136">
        <f t="shared" si="7"/>
        <v>140000</v>
      </c>
      <c r="M11" s="136">
        <f t="shared" si="7"/>
        <v>140000</v>
      </c>
      <c r="N11" s="136">
        <f t="shared" si="7"/>
        <v>140000</v>
      </c>
      <c r="O11" s="136">
        <f t="shared" si="7"/>
        <v>140000</v>
      </c>
      <c r="P11" s="136">
        <f t="shared" si="7"/>
        <v>140000</v>
      </c>
      <c r="Q11" s="136">
        <f t="shared" si="7"/>
        <v>140000</v>
      </c>
      <c r="R11" s="136">
        <f t="shared" si="7"/>
        <v>140000</v>
      </c>
      <c r="S11" s="136">
        <f t="shared" si="7"/>
        <v>140000</v>
      </c>
      <c r="T11" s="136">
        <f t="shared" si="7"/>
        <v>140000</v>
      </c>
      <c r="U11" s="136">
        <f t="shared" si="7"/>
        <v>140000</v>
      </c>
      <c r="V11" s="136">
        <f t="shared" si="7"/>
        <v>140000</v>
      </c>
      <c r="W11" s="137">
        <f t="shared" si="6"/>
        <v>1820000</v>
      </c>
    </row>
    <row r="12" spans="3:23" ht="16.5" thickBot="1" x14ac:dyDescent="0.3">
      <c r="C12" s="17" t="str">
        <f>IF(הנחות!M9&lt;&gt;"",הנחות!M9,"")</f>
        <v>תחזוקת מערכות</v>
      </c>
      <c r="D12" s="138"/>
      <c r="E12" s="141">
        <f>IF(הנחות!O9&lt;&gt;"",הנחות!O9,"")</f>
        <v>94500</v>
      </c>
      <c r="F12" s="142" t="str">
        <f>IF(הנחות!Q9&lt;&gt;"",הנחות!Q9,"")</f>
        <v>כן</v>
      </c>
      <c r="G12" s="142" t="str">
        <f>IF(הנחות!S9&lt;&gt;"",הנחות!S9,"")</f>
        <v>עלות המכר</v>
      </c>
      <c r="H12" s="142" t="str">
        <f>IF(הנחות!U9&lt;&gt;"",הנחות!U9,"")</f>
        <v>כן</v>
      </c>
      <c r="I12" s="142" t="str">
        <f>IF(הנחות!W9&lt;&gt;"",הנחות!W9,"")</f>
        <v>לא</v>
      </c>
      <c r="J12" s="136">
        <f>$E$12</f>
        <v>94500</v>
      </c>
      <c r="K12" s="136">
        <f t="shared" ref="K12:V12" si="8">$E$12</f>
        <v>94500</v>
      </c>
      <c r="L12" s="136">
        <f t="shared" si="8"/>
        <v>94500</v>
      </c>
      <c r="M12" s="136">
        <f t="shared" si="8"/>
        <v>94500</v>
      </c>
      <c r="N12" s="136">
        <f t="shared" si="8"/>
        <v>94500</v>
      </c>
      <c r="O12" s="136">
        <f t="shared" si="8"/>
        <v>94500</v>
      </c>
      <c r="P12" s="136">
        <f t="shared" si="8"/>
        <v>94500</v>
      </c>
      <c r="Q12" s="136">
        <f t="shared" si="8"/>
        <v>94500</v>
      </c>
      <c r="R12" s="136">
        <f t="shared" si="8"/>
        <v>94500</v>
      </c>
      <c r="S12" s="136">
        <f t="shared" si="8"/>
        <v>94500</v>
      </c>
      <c r="T12" s="136">
        <f t="shared" si="8"/>
        <v>94500</v>
      </c>
      <c r="U12" s="136">
        <f t="shared" si="8"/>
        <v>94500</v>
      </c>
      <c r="V12" s="136">
        <f t="shared" si="8"/>
        <v>94500</v>
      </c>
      <c r="W12" s="137">
        <f t="shared" si="6"/>
        <v>1228500</v>
      </c>
    </row>
    <row r="13" spans="3:23" ht="16.5" thickBot="1" x14ac:dyDescent="0.3">
      <c r="C13" s="17" t="str">
        <f>IF(הנחות!M10&lt;&gt;"",הנחות!M10,"")</f>
        <v>אבטחה</v>
      </c>
      <c r="D13" s="138"/>
      <c r="E13" s="141">
        <f>IF(הנחות!O10&lt;&gt;"",הנחות!O10,"")</f>
        <v>161000</v>
      </c>
      <c r="F13" s="142" t="str">
        <f>IF(הנחות!Q10&lt;&gt;"",הנחות!Q10,"")</f>
        <v>כן</v>
      </c>
      <c r="G13" s="142" t="str">
        <f>IF(הנחות!S10&lt;&gt;"",הנחות!S10,"")</f>
        <v>עלות המכר</v>
      </c>
      <c r="H13" s="142" t="str">
        <f>IF(הנחות!U10&lt;&gt;"",הנחות!U10,"")</f>
        <v>כן</v>
      </c>
      <c r="I13" s="142" t="str">
        <f>IF(הנחות!W10&lt;&gt;"",הנחות!W10,"")</f>
        <v>לא</v>
      </c>
      <c r="J13" s="136">
        <f>$E$13</f>
        <v>161000</v>
      </c>
      <c r="K13" s="136">
        <f t="shared" ref="K13:V13" si="9">$E$13</f>
        <v>161000</v>
      </c>
      <c r="L13" s="136">
        <f t="shared" si="9"/>
        <v>161000</v>
      </c>
      <c r="M13" s="136">
        <f t="shared" si="9"/>
        <v>161000</v>
      </c>
      <c r="N13" s="136">
        <f t="shared" si="9"/>
        <v>161000</v>
      </c>
      <c r="O13" s="136">
        <f t="shared" si="9"/>
        <v>161000</v>
      </c>
      <c r="P13" s="136">
        <f t="shared" si="9"/>
        <v>161000</v>
      </c>
      <c r="Q13" s="136">
        <f t="shared" si="9"/>
        <v>161000</v>
      </c>
      <c r="R13" s="136">
        <f t="shared" si="9"/>
        <v>161000</v>
      </c>
      <c r="S13" s="136">
        <f t="shared" si="9"/>
        <v>161000</v>
      </c>
      <c r="T13" s="136">
        <f t="shared" si="9"/>
        <v>161000</v>
      </c>
      <c r="U13" s="136">
        <f t="shared" si="9"/>
        <v>161000</v>
      </c>
      <c r="V13" s="136">
        <f t="shared" si="9"/>
        <v>161000</v>
      </c>
      <c r="W13" s="137">
        <f t="shared" si="6"/>
        <v>2093000</v>
      </c>
    </row>
    <row r="14" spans="3:23" ht="16.5" thickBot="1" x14ac:dyDescent="0.3">
      <c r="C14" s="17" t="str">
        <f>IF(הנחות!M11&lt;&gt;"",הנחות!M11,"")</f>
        <v>מימון</v>
      </c>
      <c r="D14" s="138"/>
      <c r="E14" s="141">
        <f>IF(הנחות!O11&lt;&gt;"",הנחות!O11,"")</f>
        <v>98000</v>
      </c>
      <c r="F14" s="142" t="str">
        <f>IF(הנחות!Q11&lt;&gt;"",הנחות!Q11,"")</f>
        <v>כן</v>
      </c>
      <c r="G14" s="142" t="str">
        <f>IF(הנחות!S11&lt;&gt;"",הנחות!S11,"")</f>
        <v>מימון</v>
      </c>
      <c r="H14" s="142" t="str">
        <f>IF(הנחות!U11&lt;&gt;"",הנחות!U11,"")</f>
        <v>כן</v>
      </c>
      <c r="I14" s="142" t="str">
        <f>IF(הנחות!W11&lt;&gt;"",הנחות!W11,"")</f>
        <v>לא</v>
      </c>
      <c r="J14" s="136">
        <f>$E$14</f>
        <v>98000</v>
      </c>
      <c r="K14" s="136">
        <f t="shared" ref="K14:V14" si="10">$E$14</f>
        <v>98000</v>
      </c>
      <c r="L14" s="136">
        <f t="shared" si="10"/>
        <v>98000</v>
      </c>
      <c r="M14" s="136">
        <f t="shared" si="10"/>
        <v>98000</v>
      </c>
      <c r="N14" s="136">
        <f t="shared" si="10"/>
        <v>98000</v>
      </c>
      <c r="O14" s="136">
        <f t="shared" si="10"/>
        <v>98000</v>
      </c>
      <c r="P14" s="136">
        <f t="shared" si="10"/>
        <v>98000</v>
      </c>
      <c r="Q14" s="136">
        <f t="shared" si="10"/>
        <v>98000</v>
      </c>
      <c r="R14" s="136">
        <f t="shared" si="10"/>
        <v>98000</v>
      </c>
      <c r="S14" s="136">
        <f t="shared" si="10"/>
        <v>98000</v>
      </c>
      <c r="T14" s="136">
        <f t="shared" si="10"/>
        <v>98000</v>
      </c>
      <c r="U14" s="136">
        <f t="shared" si="10"/>
        <v>98000</v>
      </c>
      <c r="V14" s="136">
        <f t="shared" si="10"/>
        <v>98000</v>
      </c>
      <c r="W14" s="137">
        <f t="shared" si="6"/>
        <v>1274000</v>
      </c>
    </row>
    <row r="15" spans="3:23" ht="16.5" thickBot="1" x14ac:dyDescent="0.3">
      <c r="C15" s="17" t="str">
        <f>IF(הנחות!M12&lt;&gt;"",הנחות!M12,"")</f>
        <v>פחת</v>
      </c>
      <c r="D15" s="138"/>
      <c r="E15" s="141">
        <f>IF(הנחות!O12&lt;&gt;"",הנחות!O12,"")</f>
        <v>110000.00000000001</v>
      </c>
      <c r="F15" s="142" t="str">
        <f>IF(הנחות!Q12&lt;&gt;"",הנחות!Q12,"")</f>
        <v>כן</v>
      </c>
      <c r="G15" s="142" t="str">
        <f>IF(הנחות!S12&lt;&gt;"",הנחות!S12,"")</f>
        <v>עלות המכר - פחת</v>
      </c>
      <c r="H15" s="142" t="str">
        <f>IF(הנחות!U12&lt;&gt;"",הנחות!U12,"")</f>
        <v>לא</v>
      </c>
      <c r="I15" s="142" t="str">
        <f>IF(הנחות!W12&lt;&gt;"",הנחות!W12,"")</f>
        <v>לא</v>
      </c>
      <c r="J15" s="136">
        <f>$E$15</f>
        <v>110000.00000000001</v>
      </c>
      <c r="K15" s="136">
        <f t="shared" ref="K15:V15" si="11">$E$15</f>
        <v>110000.00000000001</v>
      </c>
      <c r="L15" s="136">
        <f t="shared" si="11"/>
        <v>110000.00000000001</v>
      </c>
      <c r="M15" s="136">
        <f t="shared" si="11"/>
        <v>110000.00000000001</v>
      </c>
      <c r="N15" s="136">
        <f t="shared" si="11"/>
        <v>110000.00000000001</v>
      </c>
      <c r="O15" s="136">
        <f t="shared" si="11"/>
        <v>110000.00000000001</v>
      </c>
      <c r="P15" s="136">
        <f t="shared" si="11"/>
        <v>110000.00000000001</v>
      </c>
      <c r="Q15" s="136">
        <f t="shared" si="11"/>
        <v>110000.00000000001</v>
      </c>
      <c r="R15" s="136">
        <f t="shared" si="11"/>
        <v>110000.00000000001</v>
      </c>
      <c r="S15" s="136">
        <f t="shared" si="11"/>
        <v>110000.00000000001</v>
      </c>
      <c r="T15" s="136">
        <f t="shared" si="11"/>
        <v>110000.00000000001</v>
      </c>
      <c r="U15" s="136">
        <f t="shared" si="11"/>
        <v>110000.00000000001</v>
      </c>
      <c r="V15" s="136">
        <f t="shared" si="11"/>
        <v>110000.00000000001</v>
      </c>
      <c r="W15" s="137">
        <f t="shared" si="6"/>
        <v>1430000.0000000002</v>
      </c>
    </row>
    <row r="16" spans="3:23" ht="16.5" thickBot="1" x14ac:dyDescent="0.3">
      <c r="C16" s="17" t="str">
        <f>IF(הנחות!M13&lt;&gt;"",הנחות!M13,"")</f>
        <v>פחת</v>
      </c>
      <c r="D16" s="138"/>
      <c r="E16" s="141">
        <f>IF(הנחות!O13&lt;&gt;"",הנחות!O13,"")</f>
        <v>100000</v>
      </c>
      <c r="F16" s="142" t="str">
        <f>IF(הנחות!Q13&lt;&gt;"",הנחות!Q13,"")</f>
        <v>כן</v>
      </c>
      <c r="G16" s="142" t="str">
        <f>IF(הנחות!S13&lt;&gt;"",הנחות!S13,"")</f>
        <v>הנהלה וכלליות - פחת</v>
      </c>
      <c r="H16" s="142" t="str">
        <f>IF(הנחות!U13&lt;&gt;"",הנחות!U13,"")</f>
        <v>לא</v>
      </c>
      <c r="I16" s="142" t="str">
        <f>IF(הנחות!W13&lt;&gt;"",הנחות!W13,"")</f>
        <v>לא</v>
      </c>
      <c r="J16" s="136">
        <f>$E$16</f>
        <v>100000</v>
      </c>
      <c r="K16" s="136">
        <f t="shared" ref="K16:V16" si="12">$E$16</f>
        <v>100000</v>
      </c>
      <c r="L16" s="136">
        <f t="shared" si="12"/>
        <v>100000</v>
      </c>
      <c r="M16" s="136">
        <f t="shared" si="12"/>
        <v>100000</v>
      </c>
      <c r="N16" s="136">
        <f t="shared" si="12"/>
        <v>100000</v>
      </c>
      <c r="O16" s="136">
        <f t="shared" si="12"/>
        <v>100000</v>
      </c>
      <c r="P16" s="136">
        <f t="shared" si="12"/>
        <v>100000</v>
      </c>
      <c r="Q16" s="136">
        <f t="shared" si="12"/>
        <v>100000</v>
      </c>
      <c r="R16" s="136">
        <f t="shared" si="12"/>
        <v>100000</v>
      </c>
      <c r="S16" s="136">
        <f t="shared" si="12"/>
        <v>100000</v>
      </c>
      <c r="T16" s="136">
        <f t="shared" si="12"/>
        <v>100000</v>
      </c>
      <c r="U16" s="136">
        <f t="shared" si="12"/>
        <v>100000</v>
      </c>
      <c r="V16" s="136">
        <f t="shared" si="12"/>
        <v>100000</v>
      </c>
      <c r="W16" s="137">
        <f t="shared" si="6"/>
        <v>1300000</v>
      </c>
    </row>
    <row r="17" spans="3:23" ht="16.5" thickBot="1" x14ac:dyDescent="0.3">
      <c r="C17" s="17" t="str">
        <f>IF(הנחות!M14&lt;&gt;"",הנחות!M14,"")</f>
        <v>פרסום, קשרי לקוחות ויח"צ</v>
      </c>
      <c r="D17" s="138"/>
      <c r="E17" s="141">
        <f>IF(הנחות!O14&lt;&gt;"",הנחות!O14,"")</f>
        <v>17500</v>
      </c>
      <c r="F17" s="142" t="str">
        <f>IF(הנחות!Q14&lt;&gt;"",הנחות!Q14,"")</f>
        <v>כן</v>
      </c>
      <c r="G17" s="142" t="str">
        <f>IF(הנחות!S14&lt;&gt;"",הנחות!S14,"")</f>
        <v>מכירה ושיווק</v>
      </c>
      <c r="H17" s="142" t="str">
        <f>IF(הנחות!U14&lt;&gt;"",הנחות!U14,"")</f>
        <v>כן</v>
      </c>
      <c r="I17" s="142" t="str">
        <f>IF(הנחות!W14&lt;&gt;"",הנחות!W14,"")</f>
        <v>לא</v>
      </c>
      <c r="J17" s="136">
        <f>$E$17</f>
        <v>17500</v>
      </c>
      <c r="K17" s="136">
        <f t="shared" ref="K17:V17" si="13">$E$17</f>
        <v>17500</v>
      </c>
      <c r="L17" s="136">
        <f t="shared" si="13"/>
        <v>17500</v>
      </c>
      <c r="M17" s="136">
        <f t="shared" si="13"/>
        <v>17500</v>
      </c>
      <c r="N17" s="136">
        <f t="shared" si="13"/>
        <v>17500</v>
      </c>
      <c r="O17" s="136">
        <f t="shared" si="13"/>
        <v>17500</v>
      </c>
      <c r="P17" s="136">
        <f t="shared" si="13"/>
        <v>17500</v>
      </c>
      <c r="Q17" s="136">
        <f t="shared" si="13"/>
        <v>17500</v>
      </c>
      <c r="R17" s="136">
        <f t="shared" si="13"/>
        <v>17500</v>
      </c>
      <c r="S17" s="136">
        <f t="shared" si="13"/>
        <v>17500</v>
      </c>
      <c r="T17" s="136">
        <f t="shared" si="13"/>
        <v>17500</v>
      </c>
      <c r="U17" s="136">
        <f t="shared" si="13"/>
        <v>17500</v>
      </c>
      <c r="V17" s="136">
        <f t="shared" si="13"/>
        <v>17500</v>
      </c>
      <c r="W17" s="137">
        <f t="shared" si="6"/>
        <v>227500</v>
      </c>
    </row>
    <row r="18" spans="3:23" ht="16.5" thickBot="1" x14ac:dyDescent="0.3">
      <c r="C18" s="17" t="str">
        <f>IF(הנחות!M15&lt;&gt;"",הנחות!M15,"")</f>
        <v>חשמל ומים</v>
      </c>
      <c r="D18" s="138"/>
      <c r="E18" s="141">
        <f>IF(הנחות!O15&lt;&gt;"",הנחות!O15,"")</f>
        <v>35000</v>
      </c>
      <c r="F18" s="142" t="str">
        <f>IF(הנחות!Q15&lt;&gt;"",הנחות!Q15,"")</f>
        <v>כן</v>
      </c>
      <c r="G18" s="142" t="str">
        <f>IF(הנחות!S15&lt;&gt;"",הנחות!S15,"")</f>
        <v>עלות המכר</v>
      </c>
      <c r="H18" s="142" t="str">
        <f>IF(הנחות!U15&lt;&gt;"",הנחות!U15,"")</f>
        <v>כן</v>
      </c>
      <c r="I18" s="142" t="str">
        <f>IF(הנחות!W15&lt;&gt;"",הנחות!W15,"")</f>
        <v>לא</v>
      </c>
      <c r="J18" s="136">
        <f>$E$18</f>
        <v>35000</v>
      </c>
      <c r="K18" s="136">
        <f t="shared" ref="K18:V18" si="14">$E$18</f>
        <v>35000</v>
      </c>
      <c r="L18" s="136">
        <f t="shared" si="14"/>
        <v>35000</v>
      </c>
      <c r="M18" s="136">
        <f t="shared" si="14"/>
        <v>35000</v>
      </c>
      <c r="N18" s="136">
        <f t="shared" si="14"/>
        <v>35000</v>
      </c>
      <c r="O18" s="136">
        <f t="shared" si="14"/>
        <v>35000</v>
      </c>
      <c r="P18" s="136">
        <f t="shared" si="14"/>
        <v>35000</v>
      </c>
      <c r="Q18" s="136">
        <f t="shared" si="14"/>
        <v>35000</v>
      </c>
      <c r="R18" s="136">
        <f t="shared" si="14"/>
        <v>35000</v>
      </c>
      <c r="S18" s="136">
        <f t="shared" si="14"/>
        <v>35000</v>
      </c>
      <c r="T18" s="136">
        <f t="shared" si="14"/>
        <v>35000</v>
      </c>
      <c r="U18" s="136">
        <f t="shared" si="14"/>
        <v>35000</v>
      </c>
      <c r="V18" s="136">
        <f t="shared" si="14"/>
        <v>35000</v>
      </c>
      <c r="W18" s="137">
        <f t="shared" si="6"/>
        <v>455000</v>
      </c>
    </row>
    <row r="19" spans="3:23" ht="16.5" thickBot="1" x14ac:dyDescent="0.3">
      <c r="C19" s="62" t="s">
        <v>281</v>
      </c>
      <c r="D19" s="138"/>
      <c r="E19" s="138"/>
      <c r="F19" s="133"/>
      <c r="G19" s="143"/>
      <c r="H19" s="143"/>
      <c r="I19" s="138"/>
      <c r="J19" s="138"/>
      <c r="K19" s="138"/>
      <c r="L19" s="138"/>
      <c r="M19" s="138"/>
      <c r="N19" s="138"/>
      <c r="O19" s="138"/>
      <c r="P19" s="138"/>
      <c r="Q19" s="138"/>
      <c r="R19" s="138"/>
      <c r="S19" s="138"/>
      <c r="T19" s="138"/>
      <c r="U19" s="138"/>
      <c r="V19" s="136"/>
      <c r="W19" s="137"/>
    </row>
    <row r="20" spans="3:23" ht="16.5" outlineLevel="1" thickBot="1" x14ac:dyDescent="0.3">
      <c r="C20" s="17" t="str">
        <f>C9</f>
        <v>שכירות</v>
      </c>
      <c r="D20" s="141" t="str">
        <f>IF(AND(G20=$C$125,F20=$E$124),$E$125,"")</f>
        <v/>
      </c>
      <c r="E20" s="141">
        <f>E9</f>
        <v>245000.00000000003</v>
      </c>
      <c r="F20" s="141" t="str">
        <f t="shared" ref="F20:I20" si="15">F9</f>
        <v>כן</v>
      </c>
      <c r="G20" s="141" t="str">
        <f t="shared" si="15"/>
        <v>הנהלה וכלליות</v>
      </c>
      <c r="H20" s="141" t="str">
        <f t="shared" si="15"/>
        <v>כן</v>
      </c>
      <c r="I20" s="141" t="str">
        <f t="shared" si="15"/>
        <v>לא</v>
      </c>
      <c r="J20" s="136">
        <f>IF(AND($F$20="כן",$H$20="כן"),$E$20,0)</f>
        <v>245000.00000000003</v>
      </c>
      <c r="K20" s="136">
        <f t="shared" ref="K20:V20" si="16">IF(AND($F$20="כן",$H$20="כן"),$E$20,0)</f>
        <v>245000.00000000003</v>
      </c>
      <c r="L20" s="136">
        <f t="shared" si="16"/>
        <v>245000.00000000003</v>
      </c>
      <c r="M20" s="136">
        <f t="shared" si="16"/>
        <v>245000.00000000003</v>
      </c>
      <c r="N20" s="136">
        <f t="shared" si="16"/>
        <v>245000.00000000003</v>
      </c>
      <c r="O20" s="136">
        <f t="shared" si="16"/>
        <v>245000.00000000003</v>
      </c>
      <c r="P20" s="136">
        <f t="shared" si="16"/>
        <v>245000.00000000003</v>
      </c>
      <c r="Q20" s="136">
        <f t="shared" si="16"/>
        <v>245000.00000000003</v>
      </c>
      <c r="R20" s="136">
        <f t="shared" si="16"/>
        <v>245000.00000000003</v>
      </c>
      <c r="S20" s="136">
        <f t="shared" si="16"/>
        <v>245000.00000000003</v>
      </c>
      <c r="T20" s="136">
        <f t="shared" si="16"/>
        <v>245000.00000000003</v>
      </c>
      <c r="U20" s="136">
        <f t="shared" si="16"/>
        <v>245000.00000000003</v>
      </c>
      <c r="V20" s="136">
        <f t="shared" si="16"/>
        <v>245000.00000000003</v>
      </c>
      <c r="W20" s="137">
        <f>SUM(J20:V20)</f>
        <v>3185000.0000000005</v>
      </c>
    </row>
    <row r="21" spans="3:23" ht="16.5" outlineLevel="1" thickBot="1" x14ac:dyDescent="0.3">
      <c r="C21" s="17" t="str">
        <f t="shared" ref="C21:C29" si="17">C10</f>
        <v>ארנונה</v>
      </c>
      <c r="D21" s="141" t="str">
        <f t="shared" ref="D21:D29" si="18">IF(AND(G21=$C$125,F21=$E$124),$E$125,"")</f>
        <v/>
      </c>
      <c r="E21" s="141">
        <f t="shared" ref="E21:I21" si="19">E10</f>
        <v>105000</v>
      </c>
      <c r="F21" s="141" t="str">
        <f t="shared" si="19"/>
        <v>כן</v>
      </c>
      <c r="G21" s="141" t="str">
        <f t="shared" si="19"/>
        <v>הנהלה וכלליות</v>
      </c>
      <c r="H21" s="141" t="str">
        <f t="shared" si="19"/>
        <v>כן</v>
      </c>
      <c r="I21" s="141" t="str">
        <f t="shared" si="19"/>
        <v>לא</v>
      </c>
      <c r="J21" s="136">
        <f>IF(AND($F$21="כן",$H$21="כן"),$E$21,0)</f>
        <v>105000</v>
      </c>
      <c r="K21" s="136">
        <f t="shared" ref="K21:V21" si="20">IF(AND($F$21="כן",$H$21="כן"),$E$21,0)</f>
        <v>105000</v>
      </c>
      <c r="L21" s="136">
        <f t="shared" si="20"/>
        <v>105000</v>
      </c>
      <c r="M21" s="136">
        <f t="shared" si="20"/>
        <v>105000</v>
      </c>
      <c r="N21" s="136">
        <f t="shared" si="20"/>
        <v>105000</v>
      </c>
      <c r="O21" s="136">
        <f t="shared" si="20"/>
        <v>105000</v>
      </c>
      <c r="P21" s="136">
        <f t="shared" si="20"/>
        <v>105000</v>
      </c>
      <c r="Q21" s="136">
        <f t="shared" si="20"/>
        <v>105000</v>
      </c>
      <c r="R21" s="136">
        <f t="shared" si="20"/>
        <v>105000</v>
      </c>
      <c r="S21" s="136">
        <f t="shared" si="20"/>
        <v>105000</v>
      </c>
      <c r="T21" s="136">
        <f t="shared" si="20"/>
        <v>105000</v>
      </c>
      <c r="U21" s="136">
        <f t="shared" si="20"/>
        <v>105000</v>
      </c>
      <c r="V21" s="136">
        <f t="shared" si="20"/>
        <v>105000</v>
      </c>
      <c r="W21" s="137">
        <f t="shared" si="6"/>
        <v>1365000</v>
      </c>
    </row>
    <row r="22" spans="3:23" ht="16.5" outlineLevel="1" thickBot="1" x14ac:dyDescent="0.3">
      <c r="C22" s="17" t="str">
        <f t="shared" si="17"/>
        <v>שכר בלתי נמנע</v>
      </c>
      <c r="D22" s="141" t="str">
        <f t="shared" si="18"/>
        <v/>
      </c>
      <c r="E22" s="141">
        <f t="shared" ref="E22:I22" si="21">E11</f>
        <v>140000</v>
      </c>
      <c r="F22" s="141" t="str">
        <f t="shared" si="21"/>
        <v>כן</v>
      </c>
      <c r="G22" s="141" t="str">
        <f t="shared" si="21"/>
        <v>עלות המכר</v>
      </c>
      <c r="H22" s="141" t="str">
        <f t="shared" si="21"/>
        <v>כן</v>
      </c>
      <c r="I22" s="141" t="str">
        <f t="shared" si="21"/>
        <v>לא</v>
      </c>
      <c r="J22" s="136">
        <f>IF(AND($F$22="כן",$H$22="כן"),$E$22,0)</f>
        <v>140000</v>
      </c>
      <c r="K22" s="136">
        <f t="shared" ref="K22:V22" si="22">IF(AND($F$22="כן",$H$22="כן"),$E$22,0)</f>
        <v>140000</v>
      </c>
      <c r="L22" s="136">
        <f t="shared" si="22"/>
        <v>140000</v>
      </c>
      <c r="M22" s="136">
        <f t="shared" si="22"/>
        <v>140000</v>
      </c>
      <c r="N22" s="136">
        <f t="shared" si="22"/>
        <v>140000</v>
      </c>
      <c r="O22" s="136">
        <f t="shared" si="22"/>
        <v>140000</v>
      </c>
      <c r="P22" s="136">
        <f t="shared" si="22"/>
        <v>140000</v>
      </c>
      <c r="Q22" s="136">
        <f t="shared" si="22"/>
        <v>140000</v>
      </c>
      <c r="R22" s="136">
        <f t="shared" si="22"/>
        <v>140000</v>
      </c>
      <c r="S22" s="136">
        <f t="shared" si="22"/>
        <v>140000</v>
      </c>
      <c r="T22" s="136">
        <f t="shared" si="22"/>
        <v>140000</v>
      </c>
      <c r="U22" s="136">
        <f t="shared" si="22"/>
        <v>140000</v>
      </c>
      <c r="V22" s="136">
        <f t="shared" si="22"/>
        <v>140000</v>
      </c>
      <c r="W22" s="137">
        <f t="shared" si="6"/>
        <v>1820000</v>
      </c>
    </row>
    <row r="23" spans="3:23" ht="16.5" outlineLevel="1" thickBot="1" x14ac:dyDescent="0.3">
      <c r="C23" s="17" t="str">
        <f t="shared" si="17"/>
        <v>תחזוקת מערכות</v>
      </c>
      <c r="D23" s="141" t="str">
        <f t="shared" si="18"/>
        <v/>
      </c>
      <c r="E23" s="141">
        <f t="shared" ref="E23:I23" si="23">E12</f>
        <v>94500</v>
      </c>
      <c r="F23" s="141" t="str">
        <f t="shared" si="23"/>
        <v>כן</v>
      </c>
      <c r="G23" s="141" t="str">
        <f t="shared" si="23"/>
        <v>עלות המכר</v>
      </c>
      <c r="H23" s="141" t="str">
        <f t="shared" si="23"/>
        <v>כן</v>
      </c>
      <c r="I23" s="141" t="str">
        <f t="shared" si="23"/>
        <v>לא</v>
      </c>
      <c r="J23" s="136">
        <f>IF(AND($F$23="כן",$H$23="כן"),$E$23,0)</f>
        <v>94500</v>
      </c>
      <c r="K23" s="136">
        <f t="shared" ref="K23:V23" si="24">IF(AND($F$23="כן",$H$23="כן"),$E$23,0)</f>
        <v>94500</v>
      </c>
      <c r="L23" s="136">
        <f t="shared" si="24"/>
        <v>94500</v>
      </c>
      <c r="M23" s="136">
        <f t="shared" si="24"/>
        <v>94500</v>
      </c>
      <c r="N23" s="136">
        <f t="shared" si="24"/>
        <v>94500</v>
      </c>
      <c r="O23" s="136">
        <f t="shared" si="24"/>
        <v>94500</v>
      </c>
      <c r="P23" s="136">
        <f t="shared" si="24"/>
        <v>94500</v>
      </c>
      <c r="Q23" s="136">
        <f t="shared" si="24"/>
        <v>94500</v>
      </c>
      <c r="R23" s="136">
        <f t="shared" si="24"/>
        <v>94500</v>
      </c>
      <c r="S23" s="136">
        <f t="shared" si="24"/>
        <v>94500</v>
      </c>
      <c r="T23" s="136">
        <f t="shared" si="24"/>
        <v>94500</v>
      </c>
      <c r="U23" s="136">
        <f t="shared" si="24"/>
        <v>94500</v>
      </c>
      <c r="V23" s="136">
        <f t="shared" si="24"/>
        <v>94500</v>
      </c>
      <c r="W23" s="137">
        <f t="shared" si="6"/>
        <v>1228500</v>
      </c>
    </row>
    <row r="24" spans="3:23" ht="16.5" outlineLevel="1" thickBot="1" x14ac:dyDescent="0.3">
      <c r="C24" s="17" t="str">
        <f t="shared" si="17"/>
        <v>אבטחה</v>
      </c>
      <c r="D24" s="141" t="str">
        <f t="shared" si="18"/>
        <v/>
      </c>
      <c r="E24" s="141">
        <f t="shared" ref="E24:I24" si="25">E13</f>
        <v>161000</v>
      </c>
      <c r="F24" s="141" t="str">
        <f t="shared" si="25"/>
        <v>כן</v>
      </c>
      <c r="G24" s="141" t="str">
        <f t="shared" si="25"/>
        <v>עלות המכר</v>
      </c>
      <c r="H24" s="141" t="str">
        <f t="shared" si="25"/>
        <v>כן</v>
      </c>
      <c r="I24" s="141" t="str">
        <f t="shared" si="25"/>
        <v>לא</v>
      </c>
      <c r="J24" s="136">
        <f>IF(AND($F$24="כן",$H$24="כן"),$E$24,0)</f>
        <v>161000</v>
      </c>
      <c r="K24" s="136">
        <f t="shared" ref="K24:V24" si="26">IF(AND($F$24="כן",$H$24="כן"),$E$24,0)</f>
        <v>161000</v>
      </c>
      <c r="L24" s="136">
        <f t="shared" si="26"/>
        <v>161000</v>
      </c>
      <c r="M24" s="136">
        <f t="shared" si="26"/>
        <v>161000</v>
      </c>
      <c r="N24" s="136">
        <f t="shared" si="26"/>
        <v>161000</v>
      </c>
      <c r="O24" s="136">
        <f t="shared" si="26"/>
        <v>161000</v>
      </c>
      <c r="P24" s="136">
        <f t="shared" si="26"/>
        <v>161000</v>
      </c>
      <c r="Q24" s="136">
        <f t="shared" si="26"/>
        <v>161000</v>
      </c>
      <c r="R24" s="136">
        <f t="shared" si="26"/>
        <v>161000</v>
      </c>
      <c r="S24" s="136">
        <f t="shared" si="26"/>
        <v>161000</v>
      </c>
      <c r="T24" s="136">
        <f t="shared" si="26"/>
        <v>161000</v>
      </c>
      <c r="U24" s="136">
        <f t="shared" si="26"/>
        <v>161000</v>
      </c>
      <c r="V24" s="136">
        <f t="shared" si="26"/>
        <v>161000</v>
      </c>
      <c r="W24" s="137">
        <f t="shared" si="6"/>
        <v>2093000</v>
      </c>
    </row>
    <row r="25" spans="3:23" ht="16.5" outlineLevel="1" thickBot="1" x14ac:dyDescent="0.3">
      <c r="C25" s="17" t="str">
        <f t="shared" si="17"/>
        <v>מימון</v>
      </c>
      <c r="D25" s="141">
        <f t="shared" si="18"/>
        <v>1</v>
      </c>
      <c r="E25" s="141">
        <f t="shared" ref="E25:I25" si="27">E14</f>
        <v>98000</v>
      </c>
      <c r="F25" s="141" t="str">
        <f t="shared" si="27"/>
        <v>כן</v>
      </c>
      <c r="G25" s="141" t="str">
        <f t="shared" si="27"/>
        <v>מימון</v>
      </c>
      <c r="H25" s="141" t="str">
        <f t="shared" si="27"/>
        <v>כן</v>
      </c>
      <c r="I25" s="141" t="str">
        <f t="shared" si="27"/>
        <v>לא</v>
      </c>
      <c r="J25" s="136">
        <f>IF(AND($F$25="כן",$H$25="כן"),$E$25,0)</f>
        <v>98000</v>
      </c>
      <c r="K25" s="136">
        <f t="shared" ref="K25:V25" si="28">IF(AND($F$25="כן",$H$25="כן"),$E$25,0)</f>
        <v>98000</v>
      </c>
      <c r="L25" s="136">
        <f t="shared" si="28"/>
        <v>98000</v>
      </c>
      <c r="M25" s="136">
        <f t="shared" si="28"/>
        <v>98000</v>
      </c>
      <c r="N25" s="136">
        <f t="shared" si="28"/>
        <v>98000</v>
      </c>
      <c r="O25" s="136">
        <f t="shared" si="28"/>
        <v>98000</v>
      </c>
      <c r="P25" s="136">
        <f t="shared" si="28"/>
        <v>98000</v>
      </c>
      <c r="Q25" s="136">
        <f t="shared" si="28"/>
        <v>98000</v>
      </c>
      <c r="R25" s="136">
        <f t="shared" si="28"/>
        <v>98000</v>
      </c>
      <c r="S25" s="136">
        <f t="shared" si="28"/>
        <v>98000</v>
      </c>
      <c r="T25" s="136">
        <f t="shared" si="28"/>
        <v>98000</v>
      </c>
      <c r="U25" s="136">
        <f t="shared" si="28"/>
        <v>98000</v>
      </c>
      <c r="V25" s="136">
        <f t="shared" si="28"/>
        <v>98000</v>
      </c>
      <c r="W25" s="137">
        <f t="shared" si="6"/>
        <v>1274000</v>
      </c>
    </row>
    <row r="26" spans="3:23" ht="16.5" outlineLevel="1" thickBot="1" x14ac:dyDescent="0.3">
      <c r="C26" s="17" t="str">
        <f t="shared" si="17"/>
        <v>פחת</v>
      </c>
      <c r="D26" s="141" t="str">
        <f t="shared" si="18"/>
        <v/>
      </c>
      <c r="E26" s="141">
        <f t="shared" ref="E26:I26" si="29">E15</f>
        <v>110000.00000000001</v>
      </c>
      <c r="F26" s="141" t="str">
        <f t="shared" si="29"/>
        <v>כן</v>
      </c>
      <c r="G26" s="141" t="str">
        <f t="shared" si="29"/>
        <v>עלות המכר - פחת</v>
      </c>
      <c r="H26" s="141" t="str">
        <f t="shared" si="29"/>
        <v>לא</v>
      </c>
      <c r="I26" s="141" t="str">
        <f t="shared" si="29"/>
        <v>לא</v>
      </c>
      <c r="J26" s="136">
        <f>IF(AND($F$26="כן",$H$26="כן"),$E$26,0)</f>
        <v>0</v>
      </c>
      <c r="K26" s="136">
        <f t="shared" ref="K26:V26" si="30">IF(AND($F$26="כן",$H$26="כן"),$E$26,0)</f>
        <v>0</v>
      </c>
      <c r="L26" s="136">
        <f t="shared" si="30"/>
        <v>0</v>
      </c>
      <c r="M26" s="136">
        <f t="shared" si="30"/>
        <v>0</v>
      </c>
      <c r="N26" s="136">
        <f t="shared" si="30"/>
        <v>0</v>
      </c>
      <c r="O26" s="136">
        <f t="shared" si="30"/>
        <v>0</v>
      </c>
      <c r="P26" s="136">
        <f t="shared" si="30"/>
        <v>0</v>
      </c>
      <c r="Q26" s="136">
        <f t="shared" si="30"/>
        <v>0</v>
      </c>
      <c r="R26" s="136">
        <f t="shared" si="30"/>
        <v>0</v>
      </c>
      <c r="S26" s="136">
        <f t="shared" si="30"/>
        <v>0</v>
      </c>
      <c r="T26" s="136">
        <f t="shared" si="30"/>
        <v>0</v>
      </c>
      <c r="U26" s="136">
        <f t="shared" si="30"/>
        <v>0</v>
      </c>
      <c r="V26" s="136">
        <f t="shared" si="30"/>
        <v>0</v>
      </c>
      <c r="W26" s="137">
        <f t="shared" si="6"/>
        <v>0</v>
      </c>
    </row>
    <row r="27" spans="3:23" ht="16.5" outlineLevel="1" thickBot="1" x14ac:dyDescent="0.3">
      <c r="C27" s="17" t="str">
        <f t="shared" si="17"/>
        <v>פחת</v>
      </c>
      <c r="D27" s="141" t="str">
        <f t="shared" si="18"/>
        <v/>
      </c>
      <c r="E27" s="141">
        <f t="shared" ref="E27:I27" si="31">E16</f>
        <v>100000</v>
      </c>
      <c r="F27" s="141" t="str">
        <f t="shared" si="31"/>
        <v>כן</v>
      </c>
      <c r="G27" s="141" t="str">
        <f t="shared" si="31"/>
        <v>הנהלה וכלליות - פחת</v>
      </c>
      <c r="H27" s="141" t="str">
        <f t="shared" si="31"/>
        <v>לא</v>
      </c>
      <c r="I27" s="141" t="str">
        <f t="shared" si="31"/>
        <v>לא</v>
      </c>
      <c r="J27" s="136">
        <f>IF(AND($F$27="כן",$H$27="כן"),$E$27,0)</f>
        <v>0</v>
      </c>
      <c r="K27" s="136">
        <f t="shared" ref="K27:V27" si="32">IF(AND($F$27="כן",$H$27="כן"),$E$27,0)</f>
        <v>0</v>
      </c>
      <c r="L27" s="136">
        <f t="shared" si="32"/>
        <v>0</v>
      </c>
      <c r="M27" s="136">
        <f t="shared" si="32"/>
        <v>0</v>
      </c>
      <c r="N27" s="136">
        <f t="shared" si="32"/>
        <v>0</v>
      </c>
      <c r="O27" s="136">
        <f t="shared" si="32"/>
        <v>0</v>
      </c>
      <c r="P27" s="136">
        <f t="shared" si="32"/>
        <v>0</v>
      </c>
      <c r="Q27" s="136">
        <f t="shared" si="32"/>
        <v>0</v>
      </c>
      <c r="R27" s="136">
        <f t="shared" si="32"/>
        <v>0</v>
      </c>
      <c r="S27" s="136">
        <f t="shared" si="32"/>
        <v>0</v>
      </c>
      <c r="T27" s="136">
        <f t="shared" si="32"/>
        <v>0</v>
      </c>
      <c r="U27" s="136">
        <f t="shared" si="32"/>
        <v>0</v>
      </c>
      <c r="V27" s="136">
        <f t="shared" si="32"/>
        <v>0</v>
      </c>
      <c r="W27" s="137">
        <f t="shared" si="6"/>
        <v>0</v>
      </c>
    </row>
    <row r="28" spans="3:23" ht="16.5" outlineLevel="1" thickBot="1" x14ac:dyDescent="0.3">
      <c r="C28" s="17" t="str">
        <f t="shared" si="17"/>
        <v>פרסום, קשרי לקוחות ויח"צ</v>
      </c>
      <c r="D28" s="141" t="str">
        <f t="shared" si="18"/>
        <v/>
      </c>
      <c r="E28" s="141">
        <f t="shared" ref="E28:I28" si="33">E17</f>
        <v>17500</v>
      </c>
      <c r="F28" s="141" t="str">
        <f t="shared" si="33"/>
        <v>כן</v>
      </c>
      <c r="G28" s="141" t="str">
        <f t="shared" si="33"/>
        <v>מכירה ושיווק</v>
      </c>
      <c r="H28" s="141" t="str">
        <f t="shared" si="33"/>
        <v>כן</v>
      </c>
      <c r="I28" s="141" t="str">
        <f t="shared" si="33"/>
        <v>לא</v>
      </c>
      <c r="J28" s="136">
        <f>IF(AND($F$28="כן",$H$28="כן"),$E$28,0)</f>
        <v>17500</v>
      </c>
      <c r="K28" s="136">
        <f t="shared" ref="K28:V28" si="34">IF(AND($F$28="כן",$H$28="כן"),$E$28,0)</f>
        <v>17500</v>
      </c>
      <c r="L28" s="136">
        <f t="shared" si="34"/>
        <v>17500</v>
      </c>
      <c r="M28" s="136">
        <f t="shared" si="34"/>
        <v>17500</v>
      </c>
      <c r="N28" s="136">
        <f t="shared" si="34"/>
        <v>17500</v>
      </c>
      <c r="O28" s="136">
        <f t="shared" si="34"/>
        <v>17500</v>
      </c>
      <c r="P28" s="136">
        <f t="shared" si="34"/>
        <v>17500</v>
      </c>
      <c r="Q28" s="136">
        <f t="shared" si="34"/>
        <v>17500</v>
      </c>
      <c r="R28" s="136">
        <f t="shared" si="34"/>
        <v>17500</v>
      </c>
      <c r="S28" s="136">
        <f t="shared" si="34"/>
        <v>17500</v>
      </c>
      <c r="T28" s="136">
        <f t="shared" si="34"/>
        <v>17500</v>
      </c>
      <c r="U28" s="136">
        <f t="shared" si="34"/>
        <v>17500</v>
      </c>
      <c r="V28" s="136">
        <f t="shared" si="34"/>
        <v>17500</v>
      </c>
      <c r="W28" s="137">
        <f t="shared" si="6"/>
        <v>227500</v>
      </c>
    </row>
    <row r="29" spans="3:23" ht="16.5" outlineLevel="1" thickBot="1" x14ac:dyDescent="0.3">
      <c r="C29" s="17" t="str">
        <f t="shared" si="17"/>
        <v>חשמל ומים</v>
      </c>
      <c r="D29" s="141" t="str">
        <f t="shared" si="18"/>
        <v/>
      </c>
      <c r="E29" s="141">
        <f t="shared" ref="E29:I29" si="35">E18</f>
        <v>35000</v>
      </c>
      <c r="F29" s="141" t="str">
        <f t="shared" si="35"/>
        <v>כן</v>
      </c>
      <c r="G29" s="141" t="str">
        <f t="shared" si="35"/>
        <v>עלות המכר</v>
      </c>
      <c r="H29" s="141" t="str">
        <f t="shared" si="35"/>
        <v>כן</v>
      </c>
      <c r="I29" s="141" t="str">
        <f t="shared" si="35"/>
        <v>לא</v>
      </c>
      <c r="J29" s="136">
        <f>IF(AND($F$29="כן",$H$29="כן"),$E$29,0)</f>
        <v>35000</v>
      </c>
      <c r="K29" s="136">
        <f t="shared" ref="K29:V29" si="36">IF(AND($F$29="כן",$H$29="כן"),$E$29,0)</f>
        <v>35000</v>
      </c>
      <c r="L29" s="136">
        <f t="shared" si="36"/>
        <v>35000</v>
      </c>
      <c r="M29" s="136">
        <f t="shared" si="36"/>
        <v>35000</v>
      </c>
      <c r="N29" s="136">
        <f t="shared" si="36"/>
        <v>35000</v>
      </c>
      <c r="O29" s="136">
        <f t="shared" si="36"/>
        <v>35000</v>
      </c>
      <c r="P29" s="136">
        <f t="shared" si="36"/>
        <v>35000</v>
      </c>
      <c r="Q29" s="136">
        <f t="shared" si="36"/>
        <v>35000</v>
      </c>
      <c r="R29" s="136">
        <f t="shared" si="36"/>
        <v>35000</v>
      </c>
      <c r="S29" s="136">
        <f t="shared" si="36"/>
        <v>35000</v>
      </c>
      <c r="T29" s="136">
        <f t="shared" si="36"/>
        <v>35000</v>
      </c>
      <c r="U29" s="136">
        <f t="shared" si="36"/>
        <v>35000</v>
      </c>
      <c r="V29" s="136">
        <f t="shared" si="36"/>
        <v>35000</v>
      </c>
      <c r="W29" s="137">
        <f t="shared" si="6"/>
        <v>455000</v>
      </c>
    </row>
    <row r="30" spans="3:23" ht="15.75" outlineLevel="1" x14ac:dyDescent="0.25">
      <c r="C30" s="17"/>
      <c r="D30" s="138"/>
      <c r="E30" s="138"/>
      <c r="F30" s="133"/>
      <c r="G30" s="143"/>
      <c r="H30" s="143"/>
      <c r="I30" s="138"/>
      <c r="J30" s="138"/>
      <c r="K30" s="138"/>
      <c r="L30" s="138"/>
      <c r="M30" s="138"/>
      <c r="N30" s="138"/>
      <c r="O30" s="138"/>
      <c r="P30" s="138"/>
      <c r="Q30" s="138"/>
      <c r="R30" s="138"/>
      <c r="S30" s="138"/>
      <c r="T30" s="138"/>
      <c r="U30" s="138"/>
      <c r="V30" s="136"/>
      <c r="W30" s="137"/>
    </row>
    <row r="31" spans="3:23" ht="15.75" outlineLevel="1" x14ac:dyDescent="0.25">
      <c r="C31" s="17"/>
      <c r="D31" s="138"/>
      <c r="E31" s="138"/>
      <c r="F31" s="133"/>
      <c r="G31" s="143"/>
      <c r="H31" s="143"/>
      <c r="I31" s="138"/>
      <c r="J31" s="138"/>
      <c r="K31" s="138"/>
      <c r="L31" s="138"/>
      <c r="M31" s="138"/>
      <c r="N31" s="138"/>
      <c r="O31" s="138"/>
      <c r="P31" s="138"/>
      <c r="Q31" s="138"/>
      <c r="R31" s="138"/>
      <c r="S31" s="138"/>
      <c r="T31" s="138"/>
      <c r="U31" s="138"/>
      <c r="V31" s="136"/>
      <c r="W31" s="137"/>
    </row>
    <row r="32" spans="3:23" ht="15.75" x14ac:dyDescent="0.25">
      <c r="C32" s="17" t="s">
        <v>52</v>
      </c>
      <c r="D32" s="138"/>
      <c r="E32" s="138"/>
      <c r="F32" s="133"/>
      <c r="G32" s="143"/>
      <c r="H32" s="143"/>
      <c r="I32" s="138"/>
      <c r="J32" s="144">
        <f>SUM(J9:J18)</f>
        <v>1106000</v>
      </c>
      <c r="K32" s="144">
        <f t="shared" ref="K32:V32" si="37">SUM(K9:K18)</f>
        <v>1106000</v>
      </c>
      <c r="L32" s="144">
        <f t="shared" si="37"/>
        <v>1106000</v>
      </c>
      <c r="M32" s="144">
        <f t="shared" si="37"/>
        <v>1106000</v>
      </c>
      <c r="N32" s="144">
        <f t="shared" si="37"/>
        <v>1106000</v>
      </c>
      <c r="O32" s="144">
        <f t="shared" si="37"/>
        <v>1106000</v>
      </c>
      <c r="P32" s="144">
        <f t="shared" si="37"/>
        <v>1106000</v>
      </c>
      <c r="Q32" s="144">
        <f t="shared" si="37"/>
        <v>1106000</v>
      </c>
      <c r="R32" s="144">
        <f t="shared" si="37"/>
        <v>1106000</v>
      </c>
      <c r="S32" s="144">
        <f t="shared" si="37"/>
        <v>1106000</v>
      </c>
      <c r="T32" s="144">
        <f t="shared" si="37"/>
        <v>1106000</v>
      </c>
      <c r="U32" s="144">
        <f t="shared" si="37"/>
        <v>1106000</v>
      </c>
      <c r="V32" s="145">
        <f t="shared" si="37"/>
        <v>1106000</v>
      </c>
      <c r="W32" s="146">
        <f t="shared" si="6"/>
        <v>14378000</v>
      </c>
    </row>
    <row r="33" spans="3:23" ht="16.5" thickBot="1" x14ac:dyDescent="0.3">
      <c r="C33" s="62" t="s">
        <v>114</v>
      </c>
      <c r="D33" s="138"/>
      <c r="E33" s="138"/>
      <c r="F33" s="133"/>
      <c r="G33" s="143"/>
      <c r="H33" s="143"/>
      <c r="I33" s="138"/>
      <c r="J33" s="138"/>
      <c r="K33" s="138"/>
      <c r="L33" s="138"/>
      <c r="M33" s="138"/>
      <c r="N33" s="138"/>
      <c r="O33" s="138"/>
      <c r="P33" s="138"/>
      <c r="Q33" s="138"/>
      <c r="R33" s="138"/>
      <c r="S33" s="138"/>
      <c r="T33" s="138"/>
      <c r="U33" s="138"/>
      <c r="V33" s="136"/>
      <c r="W33" s="137"/>
    </row>
    <row r="34" spans="3:23" ht="16.5" thickBot="1" x14ac:dyDescent="0.3">
      <c r="C34" s="17" t="str">
        <f>IF(הנחות!M19&lt;&gt;"",הנחות!M19,"")</f>
        <v>שכר (מעבר לשכר בלתי נמנע)</v>
      </c>
      <c r="D34" s="138"/>
      <c r="E34" s="141">
        <f>IF(הנחות!O19&lt;&gt;"",הנחות!O19,"")</f>
        <v>1120000</v>
      </c>
      <c r="F34" s="142" t="str">
        <f>IF(הנחות!Q19&lt;&gt;"",הנחות!Q19,"")</f>
        <v>לא</v>
      </c>
      <c r="G34" s="142" t="str">
        <f>IF(הנחות!S19&lt;&gt;"",הנחות!S19,"")</f>
        <v>עלות המכר</v>
      </c>
      <c r="H34" s="142" t="str">
        <f>IF(הנחות!U19&lt;&gt;"",הנחות!U19,"")</f>
        <v>כן</v>
      </c>
      <c r="I34" s="142" t="str">
        <f>IF(הנחות!W19&lt;&gt;"",הנחות!W19,"")</f>
        <v>לא</v>
      </c>
      <c r="J34" s="136">
        <f>IF($E$34&lt;&gt;"",J6*$E$34,0)</f>
        <v>560000</v>
      </c>
      <c r="K34" s="136">
        <f t="shared" ref="K34:V34" si="38">IF($E$34&lt;&gt;"",K6*$E$34,0)</f>
        <v>560000</v>
      </c>
      <c r="L34" s="136">
        <f t="shared" si="38"/>
        <v>560000</v>
      </c>
      <c r="M34" s="136">
        <f t="shared" si="38"/>
        <v>560000</v>
      </c>
      <c r="N34" s="136">
        <f t="shared" si="38"/>
        <v>560000</v>
      </c>
      <c r="O34" s="136">
        <f t="shared" si="38"/>
        <v>560000</v>
      </c>
      <c r="P34" s="136">
        <f t="shared" si="38"/>
        <v>672000</v>
      </c>
      <c r="Q34" s="136">
        <f t="shared" si="38"/>
        <v>784000</v>
      </c>
      <c r="R34" s="136">
        <f t="shared" si="38"/>
        <v>448000</v>
      </c>
      <c r="S34" s="136">
        <f t="shared" si="38"/>
        <v>784000</v>
      </c>
      <c r="T34" s="136">
        <f t="shared" si="38"/>
        <v>896000</v>
      </c>
      <c r="U34" s="136">
        <f t="shared" si="38"/>
        <v>1008000</v>
      </c>
      <c r="V34" s="136">
        <f t="shared" si="38"/>
        <v>1120000</v>
      </c>
      <c r="W34" s="137">
        <f>SUM(J34:V34)</f>
        <v>9072000</v>
      </c>
    </row>
    <row r="35" spans="3:23" ht="16.5" thickBot="1" x14ac:dyDescent="0.3">
      <c r="C35" s="17" t="str">
        <f>IF(הנחות!M20&lt;&gt;"",הנחות!M20,"")</f>
        <v>מזון ומשקאות</v>
      </c>
      <c r="D35" s="138"/>
      <c r="E35" s="141">
        <f>IF(הנחות!O20&lt;&gt;"",הנחות!O20,"")</f>
        <v>343000</v>
      </c>
      <c r="F35" s="142" t="str">
        <f>IF(הנחות!Q20&lt;&gt;"",הנחות!Q20,"")</f>
        <v>לא</v>
      </c>
      <c r="G35" s="142" t="str">
        <f>IF(הנחות!S20&lt;&gt;"",הנחות!S20,"")</f>
        <v>עלות המכר</v>
      </c>
      <c r="H35" s="142" t="str">
        <f>IF(הנחות!U20&lt;&gt;"",הנחות!U20,"")</f>
        <v>כן</v>
      </c>
      <c r="I35" s="142" t="str">
        <f>IF(הנחות!W20&lt;&gt;"",הנחות!W20,"")</f>
        <v>כן</v>
      </c>
      <c r="J35" s="136">
        <f>IF($E$35&lt;&gt;"",J6*$E$35,0)</f>
        <v>171500</v>
      </c>
      <c r="K35" s="136">
        <f t="shared" ref="K35:V35" si="39">IF($E$35&lt;&gt;"",K6*$E$35,0)</f>
        <v>171500</v>
      </c>
      <c r="L35" s="136">
        <f t="shared" si="39"/>
        <v>171500</v>
      </c>
      <c r="M35" s="136">
        <f t="shared" si="39"/>
        <v>171500</v>
      </c>
      <c r="N35" s="136">
        <f t="shared" si="39"/>
        <v>171500</v>
      </c>
      <c r="O35" s="136">
        <f t="shared" si="39"/>
        <v>171500</v>
      </c>
      <c r="P35" s="136">
        <f t="shared" si="39"/>
        <v>205800</v>
      </c>
      <c r="Q35" s="136">
        <f t="shared" si="39"/>
        <v>240099.99999999997</v>
      </c>
      <c r="R35" s="136">
        <f t="shared" si="39"/>
        <v>137200</v>
      </c>
      <c r="S35" s="136">
        <f t="shared" si="39"/>
        <v>240099.99999999997</v>
      </c>
      <c r="T35" s="136">
        <f t="shared" si="39"/>
        <v>274400</v>
      </c>
      <c r="U35" s="136">
        <f t="shared" si="39"/>
        <v>308700</v>
      </c>
      <c r="V35" s="136">
        <f t="shared" si="39"/>
        <v>343000</v>
      </c>
      <c r="W35" s="137">
        <f t="shared" ref="W35:W66" si="40">SUM(J35:V35)</f>
        <v>2778300</v>
      </c>
    </row>
    <row r="36" spans="3:23" ht="16.5" thickBot="1" x14ac:dyDescent="0.3">
      <c r="C36" s="17" t="str">
        <f>IF(הנחות!M21&lt;&gt;"",הנחות!M21,"")</f>
        <v>חשמל ומים</v>
      </c>
      <c r="D36" s="138"/>
      <c r="E36" s="141">
        <f>IF(הנחות!O21&lt;&gt;"",הנחות!O21,"")</f>
        <v>140000</v>
      </c>
      <c r="F36" s="142" t="str">
        <f>IF(הנחות!Q21&lt;&gt;"",הנחות!Q21,"")</f>
        <v>לא</v>
      </c>
      <c r="G36" s="142" t="str">
        <f>IF(הנחות!S21&lt;&gt;"",הנחות!S21,"")</f>
        <v>עלות המכר</v>
      </c>
      <c r="H36" s="142" t="str">
        <f>IF(הנחות!U21&lt;&gt;"",הנחות!U21,"")</f>
        <v>כן</v>
      </c>
      <c r="I36" s="142" t="str">
        <f>IF(הנחות!W21&lt;&gt;"",הנחות!W21,"")</f>
        <v>לא</v>
      </c>
      <c r="J36" s="136">
        <f>IF($E$36&lt;&gt;"",J6*$E$36,0)</f>
        <v>70000</v>
      </c>
      <c r="K36" s="136">
        <f t="shared" ref="K36:V36" si="41">IF($E$36&lt;&gt;"",K6*$E$36,0)</f>
        <v>70000</v>
      </c>
      <c r="L36" s="136">
        <f t="shared" si="41"/>
        <v>70000</v>
      </c>
      <c r="M36" s="136">
        <f t="shared" si="41"/>
        <v>70000</v>
      </c>
      <c r="N36" s="136">
        <f t="shared" si="41"/>
        <v>70000</v>
      </c>
      <c r="O36" s="136">
        <f t="shared" si="41"/>
        <v>70000</v>
      </c>
      <c r="P36" s="136">
        <f t="shared" si="41"/>
        <v>84000</v>
      </c>
      <c r="Q36" s="136">
        <f t="shared" si="41"/>
        <v>98000</v>
      </c>
      <c r="R36" s="136">
        <f t="shared" si="41"/>
        <v>56000</v>
      </c>
      <c r="S36" s="136">
        <f t="shared" si="41"/>
        <v>98000</v>
      </c>
      <c r="T36" s="136">
        <f t="shared" si="41"/>
        <v>112000</v>
      </c>
      <c r="U36" s="136">
        <f t="shared" si="41"/>
        <v>126000</v>
      </c>
      <c r="V36" s="136">
        <f t="shared" si="41"/>
        <v>140000</v>
      </c>
      <c r="W36" s="137">
        <f t="shared" si="40"/>
        <v>1134000</v>
      </c>
    </row>
    <row r="37" spans="3:23" ht="16.5" thickBot="1" x14ac:dyDescent="0.3">
      <c r="C37" s="17" t="str">
        <f>IF(הנחות!M22&lt;&gt;"",הנחות!M22,"")</f>
        <v>תחזוקת חדרים</v>
      </c>
      <c r="D37" s="138"/>
      <c r="E37" s="141">
        <f>IF(הנחות!O22&lt;&gt;"",הנחות!O22,"")</f>
        <v>245000.00000000003</v>
      </c>
      <c r="F37" s="142" t="str">
        <f>IF(הנחות!Q22&lt;&gt;"",הנחות!Q22,"")</f>
        <v>לא</v>
      </c>
      <c r="G37" s="142" t="str">
        <f>IF(הנחות!S22&lt;&gt;"",הנחות!S22,"")</f>
        <v>עלות המכר</v>
      </c>
      <c r="H37" s="142" t="str">
        <f>IF(הנחות!U22&lt;&gt;"",הנחות!U22,"")</f>
        <v>כן</v>
      </c>
      <c r="I37" s="142" t="str">
        <f>IF(הנחות!W22&lt;&gt;"",הנחות!W22,"")</f>
        <v>כן</v>
      </c>
      <c r="J37" s="136">
        <f>IF($E$37&lt;&gt;"",J6*$E$37,0)</f>
        <v>122500.00000000001</v>
      </c>
      <c r="K37" s="136">
        <f t="shared" ref="K37:V37" si="42">IF($E$37&lt;&gt;"",K6*$E$37,0)</f>
        <v>122500.00000000001</v>
      </c>
      <c r="L37" s="136">
        <f t="shared" si="42"/>
        <v>122500.00000000001</v>
      </c>
      <c r="M37" s="136">
        <f t="shared" si="42"/>
        <v>122500.00000000001</v>
      </c>
      <c r="N37" s="136">
        <f t="shared" si="42"/>
        <v>122500.00000000001</v>
      </c>
      <c r="O37" s="136">
        <f t="shared" si="42"/>
        <v>122500.00000000001</v>
      </c>
      <c r="P37" s="136">
        <f t="shared" si="42"/>
        <v>147000</v>
      </c>
      <c r="Q37" s="136">
        <f t="shared" si="42"/>
        <v>171500</v>
      </c>
      <c r="R37" s="136">
        <f t="shared" si="42"/>
        <v>98000.000000000015</v>
      </c>
      <c r="S37" s="136">
        <f t="shared" si="42"/>
        <v>171500</v>
      </c>
      <c r="T37" s="136">
        <f t="shared" si="42"/>
        <v>196000.00000000003</v>
      </c>
      <c r="U37" s="136">
        <f t="shared" si="42"/>
        <v>220500.00000000003</v>
      </c>
      <c r="V37" s="136">
        <f t="shared" si="42"/>
        <v>245000.00000000003</v>
      </c>
      <c r="W37" s="137">
        <f t="shared" si="40"/>
        <v>1984500</v>
      </c>
    </row>
    <row r="38" spans="3:23" ht="16.5" thickBot="1" x14ac:dyDescent="0.3">
      <c r="C38" s="17" t="str">
        <f>IF(הנחות!M23&lt;&gt;"",הנחות!M23,"")</f>
        <v>פרסום, קשרי לקוחות ויח"צ</v>
      </c>
      <c r="D38" s="138"/>
      <c r="E38" s="141">
        <f>IF(הנחות!O23&lt;&gt;"",הנחות!O23,"")</f>
        <v>52500</v>
      </c>
      <c r="F38" s="142" t="str">
        <f>IF(הנחות!Q23&lt;&gt;"",הנחות!Q23,"")</f>
        <v>לא</v>
      </c>
      <c r="G38" s="142" t="str">
        <f>IF(הנחות!S23&lt;&gt;"",הנחות!S23,"")</f>
        <v>מכירה ושיווק</v>
      </c>
      <c r="H38" s="142" t="str">
        <f>IF(הנחות!U23&lt;&gt;"",הנחות!U23,"")</f>
        <v>כן</v>
      </c>
      <c r="I38" s="142" t="str">
        <f>IF(הנחות!W23&lt;&gt;"",הנחות!W23,"")</f>
        <v>כן</v>
      </c>
      <c r="J38" s="136">
        <f>IF($E$38&lt;&gt;"",J6*$E$38,0)</f>
        <v>26250</v>
      </c>
      <c r="K38" s="136">
        <f t="shared" ref="K38:V38" si="43">IF($E$38&lt;&gt;"",K6*$E$38,0)</f>
        <v>26250</v>
      </c>
      <c r="L38" s="136">
        <f t="shared" si="43"/>
        <v>26250</v>
      </c>
      <c r="M38" s="136">
        <f t="shared" si="43"/>
        <v>26250</v>
      </c>
      <c r="N38" s="136">
        <f t="shared" si="43"/>
        <v>26250</v>
      </c>
      <c r="O38" s="136">
        <f t="shared" si="43"/>
        <v>26250</v>
      </c>
      <c r="P38" s="136">
        <f t="shared" si="43"/>
        <v>31500</v>
      </c>
      <c r="Q38" s="136">
        <f t="shared" si="43"/>
        <v>36750</v>
      </c>
      <c r="R38" s="136">
        <f t="shared" si="43"/>
        <v>21000</v>
      </c>
      <c r="S38" s="136">
        <f t="shared" si="43"/>
        <v>36750</v>
      </c>
      <c r="T38" s="136">
        <f t="shared" si="43"/>
        <v>42000</v>
      </c>
      <c r="U38" s="136">
        <f t="shared" si="43"/>
        <v>47250</v>
      </c>
      <c r="V38" s="136">
        <f t="shared" si="43"/>
        <v>52500</v>
      </c>
      <c r="W38" s="137">
        <f t="shared" si="40"/>
        <v>425250</v>
      </c>
    </row>
    <row r="39" spans="3:23" ht="16.5" thickBot="1" x14ac:dyDescent="0.3">
      <c r="C39" s="17" t="str">
        <f>IF(הנחות!M24&lt;&gt;"",הנחות!M24,"")</f>
        <v>הוצאות כלליות</v>
      </c>
      <c r="D39" s="138"/>
      <c r="E39" s="141">
        <f>IF(הנחות!O24&lt;&gt;"",הנחות!O24,"")</f>
        <v>140000</v>
      </c>
      <c r="F39" s="142" t="str">
        <f>IF(הנחות!Q24&lt;&gt;"",הנחות!Q24,"")</f>
        <v>לא</v>
      </c>
      <c r="G39" s="142" t="str">
        <f>IF(הנחות!S24&lt;&gt;"",הנחות!S24,"")</f>
        <v>הוצאות אחרות</v>
      </c>
      <c r="H39" s="142" t="str">
        <f>IF(הנחות!U24&lt;&gt;"",הנחות!U24,"")</f>
        <v>כן</v>
      </c>
      <c r="I39" s="142" t="str">
        <f>IF(הנחות!W24&lt;&gt;"",הנחות!W24,"")</f>
        <v>כן</v>
      </c>
      <c r="J39" s="136">
        <f>IF($E$39&lt;&gt;"",J6*$E$39,0)</f>
        <v>70000</v>
      </c>
      <c r="K39" s="136">
        <f t="shared" ref="K39:V39" si="44">IF($E$39&lt;&gt;"",K6*$E$39,0)</f>
        <v>70000</v>
      </c>
      <c r="L39" s="136">
        <f t="shared" si="44"/>
        <v>70000</v>
      </c>
      <c r="M39" s="136">
        <f t="shared" si="44"/>
        <v>70000</v>
      </c>
      <c r="N39" s="136">
        <f t="shared" si="44"/>
        <v>70000</v>
      </c>
      <c r="O39" s="136">
        <f t="shared" si="44"/>
        <v>70000</v>
      </c>
      <c r="P39" s="136">
        <f t="shared" si="44"/>
        <v>84000</v>
      </c>
      <c r="Q39" s="136">
        <f t="shared" si="44"/>
        <v>98000</v>
      </c>
      <c r="R39" s="136">
        <f t="shared" si="44"/>
        <v>56000</v>
      </c>
      <c r="S39" s="136">
        <f t="shared" si="44"/>
        <v>98000</v>
      </c>
      <c r="T39" s="136">
        <f t="shared" si="44"/>
        <v>112000</v>
      </c>
      <c r="U39" s="136">
        <f t="shared" si="44"/>
        <v>126000</v>
      </c>
      <c r="V39" s="136">
        <f t="shared" si="44"/>
        <v>140000</v>
      </c>
      <c r="W39" s="137">
        <f t="shared" si="40"/>
        <v>1134000</v>
      </c>
    </row>
    <row r="40" spans="3:23" ht="16.5" thickBot="1" x14ac:dyDescent="0.3">
      <c r="C40" s="17" t="str">
        <f>IF(הנחות!M25&lt;&gt;"",הנחות!M25,"")</f>
        <v/>
      </c>
      <c r="D40" s="138"/>
      <c r="E40" s="141" t="str">
        <f>IF(הנחות!O25&lt;&gt;"",הנחות!O25,"")</f>
        <v/>
      </c>
      <c r="F40" s="142" t="str">
        <f>IF(הנחות!Q25&lt;&gt;"",הנחות!Q25,"")</f>
        <v/>
      </c>
      <c r="G40" s="142" t="str">
        <f>IF(הנחות!S25&lt;&gt;"",הנחות!S25,"")</f>
        <v/>
      </c>
      <c r="H40" s="142" t="str">
        <f>IF(הנחות!U25&lt;&gt;"",הנחות!U25,"")</f>
        <v/>
      </c>
      <c r="I40" s="142" t="str">
        <f>IF(הנחות!W25&lt;&gt;"",הנחות!W25,"")</f>
        <v/>
      </c>
      <c r="J40" s="136">
        <f>IF($E$40&lt;&gt;"",J6*$E$40,0)</f>
        <v>0</v>
      </c>
      <c r="K40" s="136">
        <f t="shared" ref="K40:V40" si="45">IF($E$40&lt;&gt;"",K6*$E$40,0)</f>
        <v>0</v>
      </c>
      <c r="L40" s="136">
        <f t="shared" si="45"/>
        <v>0</v>
      </c>
      <c r="M40" s="136">
        <f t="shared" si="45"/>
        <v>0</v>
      </c>
      <c r="N40" s="136">
        <f t="shared" si="45"/>
        <v>0</v>
      </c>
      <c r="O40" s="136">
        <f t="shared" si="45"/>
        <v>0</v>
      </c>
      <c r="P40" s="136">
        <f t="shared" si="45"/>
        <v>0</v>
      </c>
      <c r="Q40" s="136">
        <f t="shared" si="45"/>
        <v>0</v>
      </c>
      <c r="R40" s="136">
        <f t="shared" si="45"/>
        <v>0</v>
      </c>
      <c r="S40" s="136">
        <f t="shared" si="45"/>
        <v>0</v>
      </c>
      <c r="T40" s="136">
        <f t="shared" si="45"/>
        <v>0</v>
      </c>
      <c r="U40" s="136">
        <f t="shared" si="45"/>
        <v>0</v>
      </c>
      <c r="V40" s="136">
        <f t="shared" si="45"/>
        <v>0</v>
      </c>
      <c r="W40" s="137">
        <f t="shared" si="40"/>
        <v>0</v>
      </c>
    </row>
    <row r="41" spans="3:23" ht="16.5" thickBot="1" x14ac:dyDescent="0.3">
      <c r="C41" s="17" t="str">
        <f>IF(הנחות!M26&lt;&gt;"",הנחות!M26,"")</f>
        <v/>
      </c>
      <c r="D41" s="138"/>
      <c r="E41" s="141" t="str">
        <f>IF(הנחות!O26&lt;&gt;"",הנחות!O26,"")</f>
        <v/>
      </c>
      <c r="F41" s="142" t="str">
        <f>IF(הנחות!Q26&lt;&gt;"",הנחות!Q26,"")</f>
        <v/>
      </c>
      <c r="G41" s="142" t="str">
        <f>IF(הנחות!S26&lt;&gt;"",הנחות!S26,"")</f>
        <v/>
      </c>
      <c r="H41" s="142" t="str">
        <f>IF(הנחות!U26&lt;&gt;"",הנחות!U26,"")</f>
        <v/>
      </c>
      <c r="I41" s="142" t="str">
        <f>IF(הנחות!W26&lt;&gt;"",הנחות!W26,"")</f>
        <v/>
      </c>
      <c r="J41" s="136">
        <f>IF($E$41&lt;&gt;"",J6*$E$41,0)</f>
        <v>0</v>
      </c>
      <c r="K41" s="136">
        <f t="shared" ref="K41:V41" si="46">IF($E$41&lt;&gt;"",K6*$E$41,0)</f>
        <v>0</v>
      </c>
      <c r="L41" s="136">
        <f t="shared" si="46"/>
        <v>0</v>
      </c>
      <c r="M41" s="136">
        <f t="shared" si="46"/>
        <v>0</v>
      </c>
      <c r="N41" s="136">
        <f t="shared" si="46"/>
        <v>0</v>
      </c>
      <c r="O41" s="136">
        <f t="shared" si="46"/>
        <v>0</v>
      </c>
      <c r="P41" s="136">
        <f t="shared" si="46"/>
        <v>0</v>
      </c>
      <c r="Q41" s="136">
        <f t="shared" si="46"/>
        <v>0</v>
      </c>
      <c r="R41" s="136">
        <f t="shared" si="46"/>
        <v>0</v>
      </c>
      <c r="S41" s="136">
        <f t="shared" si="46"/>
        <v>0</v>
      </c>
      <c r="T41" s="136">
        <f t="shared" si="46"/>
        <v>0</v>
      </c>
      <c r="U41" s="136">
        <f t="shared" si="46"/>
        <v>0</v>
      </c>
      <c r="V41" s="136">
        <f t="shared" si="46"/>
        <v>0</v>
      </c>
      <c r="W41" s="137">
        <f t="shared" si="40"/>
        <v>0</v>
      </c>
    </row>
    <row r="42" spans="3:23" ht="16.5" thickBot="1" x14ac:dyDescent="0.3">
      <c r="C42" s="17" t="str">
        <f>IF(הנחות!M27&lt;&gt;"",הנחות!M27,"")</f>
        <v/>
      </c>
      <c r="D42" s="138"/>
      <c r="E42" s="141" t="str">
        <f>IF(הנחות!O27&lt;&gt;"",הנחות!O27,"")</f>
        <v/>
      </c>
      <c r="F42" s="142" t="str">
        <f>IF(הנחות!Q27&lt;&gt;"",הנחות!Q27,"")</f>
        <v/>
      </c>
      <c r="G42" s="142" t="str">
        <f>IF(הנחות!S27&lt;&gt;"",הנחות!S27,"")</f>
        <v/>
      </c>
      <c r="H42" s="142" t="str">
        <f>IF(הנחות!U27&lt;&gt;"",הנחות!U27,"")</f>
        <v/>
      </c>
      <c r="I42" s="142" t="str">
        <f>IF(הנחות!W27&lt;&gt;"",הנחות!W27,"")</f>
        <v/>
      </c>
      <c r="J42" s="136">
        <f>IF($E$42&lt;&gt;"",J6*$E$42,0)</f>
        <v>0</v>
      </c>
      <c r="K42" s="136">
        <f t="shared" ref="K42:V42" si="47">IF($E$42&lt;&gt;"",K6*$E$42,0)</f>
        <v>0</v>
      </c>
      <c r="L42" s="136">
        <f t="shared" si="47"/>
        <v>0</v>
      </c>
      <c r="M42" s="136">
        <f t="shared" si="47"/>
        <v>0</v>
      </c>
      <c r="N42" s="136">
        <f t="shared" si="47"/>
        <v>0</v>
      </c>
      <c r="O42" s="136">
        <f t="shared" si="47"/>
        <v>0</v>
      </c>
      <c r="P42" s="136">
        <f t="shared" si="47"/>
        <v>0</v>
      </c>
      <c r="Q42" s="136">
        <f t="shared" si="47"/>
        <v>0</v>
      </c>
      <c r="R42" s="136">
        <f t="shared" si="47"/>
        <v>0</v>
      </c>
      <c r="S42" s="136">
        <f t="shared" si="47"/>
        <v>0</v>
      </c>
      <c r="T42" s="136">
        <f t="shared" si="47"/>
        <v>0</v>
      </c>
      <c r="U42" s="136">
        <f t="shared" si="47"/>
        <v>0</v>
      </c>
      <c r="V42" s="136">
        <f t="shared" si="47"/>
        <v>0</v>
      </c>
      <c r="W42" s="137">
        <f t="shared" si="40"/>
        <v>0</v>
      </c>
    </row>
    <row r="43" spans="3:23" ht="16.5" thickBot="1" x14ac:dyDescent="0.3">
      <c r="C43" s="17" t="str">
        <f>IF(הנחות!M28&lt;&gt;"",הנחות!M28,"")</f>
        <v/>
      </c>
      <c r="D43" s="138"/>
      <c r="E43" s="141" t="str">
        <f>IF(הנחות!O28&lt;&gt;"",הנחות!O28,"")</f>
        <v/>
      </c>
      <c r="F43" s="142" t="str">
        <f>IF(הנחות!Q28&lt;&gt;"",הנחות!Q28,"")</f>
        <v/>
      </c>
      <c r="G43" s="142" t="str">
        <f>IF(הנחות!S28&lt;&gt;"",הנחות!S28,"")</f>
        <v/>
      </c>
      <c r="H43" s="142" t="str">
        <f>IF(הנחות!U28&lt;&gt;"",הנחות!U28,"")</f>
        <v/>
      </c>
      <c r="I43" s="142" t="str">
        <f>IF(הנחות!W28&lt;&gt;"",הנחות!W28,"")</f>
        <v/>
      </c>
      <c r="J43" s="136">
        <f>IF($E$43&lt;&gt;"",J6*$E$43,0)</f>
        <v>0</v>
      </c>
      <c r="K43" s="136">
        <f t="shared" ref="K43:V43" si="48">IF($E$43&lt;&gt;"",K6*$E$43,0)</f>
        <v>0</v>
      </c>
      <c r="L43" s="136">
        <f t="shared" si="48"/>
        <v>0</v>
      </c>
      <c r="M43" s="136">
        <f t="shared" si="48"/>
        <v>0</v>
      </c>
      <c r="N43" s="136">
        <f t="shared" si="48"/>
        <v>0</v>
      </c>
      <c r="O43" s="136">
        <f t="shared" si="48"/>
        <v>0</v>
      </c>
      <c r="P43" s="136">
        <f t="shared" si="48"/>
        <v>0</v>
      </c>
      <c r="Q43" s="136">
        <f t="shared" si="48"/>
        <v>0</v>
      </c>
      <c r="R43" s="136">
        <f t="shared" si="48"/>
        <v>0</v>
      </c>
      <c r="S43" s="136">
        <f t="shared" si="48"/>
        <v>0</v>
      </c>
      <c r="T43" s="136">
        <f t="shared" si="48"/>
        <v>0</v>
      </c>
      <c r="U43" s="136">
        <f t="shared" si="48"/>
        <v>0</v>
      </c>
      <c r="V43" s="136">
        <f t="shared" si="48"/>
        <v>0</v>
      </c>
      <c r="W43" s="137">
        <f t="shared" si="40"/>
        <v>0</v>
      </c>
    </row>
    <row r="44" spans="3:23" ht="16.5" thickBot="1" x14ac:dyDescent="0.3">
      <c r="C44" s="62" t="s">
        <v>282</v>
      </c>
      <c r="D44" s="138"/>
      <c r="E44" s="252"/>
      <c r="F44" s="253"/>
      <c r="G44" s="253"/>
      <c r="H44" s="253"/>
      <c r="I44" s="253"/>
      <c r="J44" s="136"/>
      <c r="K44" s="136"/>
      <c r="L44" s="136"/>
      <c r="M44" s="136"/>
      <c r="N44" s="136"/>
      <c r="O44" s="136"/>
      <c r="P44" s="136"/>
      <c r="Q44" s="136"/>
      <c r="R44" s="136"/>
      <c r="S44" s="136"/>
      <c r="T44" s="136"/>
      <c r="U44" s="136"/>
      <c r="V44" s="136"/>
      <c r="W44" s="137"/>
    </row>
    <row r="45" spans="3:23" ht="16.5" outlineLevel="1" thickBot="1" x14ac:dyDescent="0.3">
      <c r="C45" s="17" t="str">
        <f>C34</f>
        <v>שכר (מעבר לשכר בלתי נמנע)</v>
      </c>
      <c r="D45" s="141" t="str">
        <f>IF(AND(G45=$C$125,F45=$E$124),$E$125,"")</f>
        <v/>
      </c>
      <c r="E45" s="141">
        <f>E34</f>
        <v>1120000</v>
      </c>
      <c r="F45" s="141" t="str">
        <f t="shared" ref="F45:I45" si="49">F34</f>
        <v>לא</v>
      </c>
      <c r="G45" s="141" t="str">
        <f t="shared" si="49"/>
        <v>עלות המכר</v>
      </c>
      <c r="H45" s="141" t="str">
        <f t="shared" si="49"/>
        <v>כן</v>
      </c>
      <c r="I45" s="141" t="str">
        <f t="shared" si="49"/>
        <v>לא</v>
      </c>
      <c r="J45" s="136">
        <f>IF($E$45&lt;&gt;"",J6*$E$45,0)*IF(AND($F$45="כן",$H$45="כן"),1,0)</f>
        <v>0</v>
      </c>
      <c r="K45" s="136">
        <f t="shared" ref="K45:V45" si="50">IF($E$45&lt;&gt;"",K6*$E$45,0)*IF($F$45="כן",1,0)</f>
        <v>0</v>
      </c>
      <c r="L45" s="136">
        <f t="shared" si="50"/>
        <v>0</v>
      </c>
      <c r="M45" s="136">
        <f t="shared" si="50"/>
        <v>0</v>
      </c>
      <c r="N45" s="136">
        <f t="shared" si="50"/>
        <v>0</v>
      </c>
      <c r="O45" s="136">
        <f t="shared" si="50"/>
        <v>0</v>
      </c>
      <c r="P45" s="136">
        <f t="shared" si="50"/>
        <v>0</v>
      </c>
      <c r="Q45" s="136">
        <f t="shared" si="50"/>
        <v>0</v>
      </c>
      <c r="R45" s="136">
        <f t="shared" si="50"/>
        <v>0</v>
      </c>
      <c r="S45" s="136">
        <f t="shared" si="50"/>
        <v>0</v>
      </c>
      <c r="T45" s="136">
        <f t="shared" si="50"/>
        <v>0</v>
      </c>
      <c r="U45" s="136">
        <f t="shared" si="50"/>
        <v>0</v>
      </c>
      <c r="V45" s="136">
        <f t="shared" si="50"/>
        <v>0</v>
      </c>
      <c r="W45" s="137">
        <f>SUM(J45:V45)</f>
        <v>0</v>
      </c>
    </row>
    <row r="46" spans="3:23" ht="16.5" outlineLevel="1" thickBot="1" x14ac:dyDescent="0.3">
      <c r="C46" s="17" t="str">
        <f t="shared" ref="C46:C54" si="51">C35</f>
        <v>מזון ומשקאות</v>
      </c>
      <c r="D46" s="141" t="str">
        <f t="shared" ref="D46:D54" si="52">IF(AND(G46=$C$125,F46=$E$124),$E$125,"")</f>
        <v/>
      </c>
      <c r="E46" s="141">
        <f t="shared" ref="E46:I54" si="53">E35</f>
        <v>343000</v>
      </c>
      <c r="F46" s="141" t="str">
        <f t="shared" si="53"/>
        <v>לא</v>
      </c>
      <c r="G46" s="141" t="str">
        <f t="shared" si="53"/>
        <v>עלות המכר</v>
      </c>
      <c r="H46" s="141" t="str">
        <f t="shared" si="53"/>
        <v>כן</v>
      </c>
      <c r="I46" s="141" t="str">
        <f t="shared" si="53"/>
        <v>כן</v>
      </c>
      <c r="J46" s="136">
        <f>IF($E$46&lt;&gt;"",J6*$E$46,0)*IF(AND($F$46="כן",$H$46="כן"),1,0)</f>
        <v>0</v>
      </c>
      <c r="K46" s="136">
        <f t="shared" ref="K46:V46" si="54">IF($E$46&lt;&gt;"",K6*$E$46,0)*IF($F$46="כן",1,0)</f>
        <v>0</v>
      </c>
      <c r="L46" s="136">
        <f t="shared" si="54"/>
        <v>0</v>
      </c>
      <c r="M46" s="136">
        <f t="shared" si="54"/>
        <v>0</v>
      </c>
      <c r="N46" s="136">
        <f t="shared" si="54"/>
        <v>0</v>
      </c>
      <c r="O46" s="136">
        <f t="shared" si="54"/>
        <v>0</v>
      </c>
      <c r="P46" s="136">
        <f t="shared" si="54"/>
        <v>0</v>
      </c>
      <c r="Q46" s="136">
        <f t="shared" si="54"/>
        <v>0</v>
      </c>
      <c r="R46" s="136">
        <f t="shared" si="54"/>
        <v>0</v>
      </c>
      <c r="S46" s="136">
        <f t="shared" si="54"/>
        <v>0</v>
      </c>
      <c r="T46" s="136">
        <f t="shared" si="54"/>
        <v>0</v>
      </c>
      <c r="U46" s="136">
        <f t="shared" si="54"/>
        <v>0</v>
      </c>
      <c r="V46" s="136">
        <f t="shared" si="54"/>
        <v>0</v>
      </c>
      <c r="W46" s="137">
        <f t="shared" si="40"/>
        <v>0</v>
      </c>
    </row>
    <row r="47" spans="3:23" ht="16.5" outlineLevel="1" thickBot="1" x14ac:dyDescent="0.3">
      <c r="C47" s="17" t="str">
        <f t="shared" si="51"/>
        <v>חשמל ומים</v>
      </c>
      <c r="D47" s="141" t="str">
        <f t="shared" si="52"/>
        <v/>
      </c>
      <c r="E47" s="141">
        <f t="shared" si="53"/>
        <v>140000</v>
      </c>
      <c r="F47" s="141" t="str">
        <f t="shared" si="53"/>
        <v>לא</v>
      </c>
      <c r="G47" s="141" t="str">
        <f t="shared" si="53"/>
        <v>עלות המכר</v>
      </c>
      <c r="H47" s="141" t="str">
        <f t="shared" si="53"/>
        <v>כן</v>
      </c>
      <c r="I47" s="141" t="str">
        <f t="shared" si="53"/>
        <v>לא</v>
      </c>
      <c r="J47" s="136">
        <f>IF($E$47&lt;&gt;"",J6*$E$47,0)*IF(AND($F$47="כן",$H$47="כן"),1,0)</f>
        <v>0</v>
      </c>
      <c r="K47" s="136">
        <f t="shared" ref="K47:V47" si="55">IF($E$47&lt;&gt;"",K6*$E$47,0)*IF($F$47="כן",1,0)</f>
        <v>0</v>
      </c>
      <c r="L47" s="136">
        <f t="shared" si="55"/>
        <v>0</v>
      </c>
      <c r="M47" s="136">
        <f t="shared" si="55"/>
        <v>0</v>
      </c>
      <c r="N47" s="136">
        <f t="shared" si="55"/>
        <v>0</v>
      </c>
      <c r="O47" s="136">
        <f t="shared" si="55"/>
        <v>0</v>
      </c>
      <c r="P47" s="136">
        <f t="shared" si="55"/>
        <v>0</v>
      </c>
      <c r="Q47" s="136">
        <f t="shared" si="55"/>
        <v>0</v>
      </c>
      <c r="R47" s="136">
        <f t="shared" si="55"/>
        <v>0</v>
      </c>
      <c r="S47" s="136">
        <f t="shared" si="55"/>
        <v>0</v>
      </c>
      <c r="T47" s="136">
        <f t="shared" si="55"/>
        <v>0</v>
      </c>
      <c r="U47" s="136">
        <f t="shared" si="55"/>
        <v>0</v>
      </c>
      <c r="V47" s="136">
        <f t="shared" si="55"/>
        <v>0</v>
      </c>
      <c r="W47" s="137">
        <f t="shared" si="40"/>
        <v>0</v>
      </c>
    </row>
    <row r="48" spans="3:23" ht="16.5" outlineLevel="1" thickBot="1" x14ac:dyDescent="0.3">
      <c r="C48" s="17" t="str">
        <f t="shared" si="51"/>
        <v>תחזוקת חדרים</v>
      </c>
      <c r="D48" s="141" t="str">
        <f t="shared" si="52"/>
        <v/>
      </c>
      <c r="E48" s="141">
        <f t="shared" si="53"/>
        <v>245000.00000000003</v>
      </c>
      <c r="F48" s="141" t="str">
        <f t="shared" si="53"/>
        <v>לא</v>
      </c>
      <c r="G48" s="141" t="str">
        <f t="shared" si="53"/>
        <v>עלות המכר</v>
      </c>
      <c r="H48" s="141" t="str">
        <f t="shared" si="53"/>
        <v>כן</v>
      </c>
      <c r="I48" s="141" t="str">
        <f t="shared" si="53"/>
        <v>כן</v>
      </c>
      <c r="J48" s="136">
        <f>IF($E$48&lt;&gt;"",J6*$E$48,0)*IF(AND($F$48="כן",$H$48="כן"),1,0)</f>
        <v>0</v>
      </c>
      <c r="K48" s="136">
        <f t="shared" ref="K48:V48" si="56">IF($E$48&lt;&gt;"",K6*$E$48,0)*IF($F$48="כן",1,0)</f>
        <v>0</v>
      </c>
      <c r="L48" s="136">
        <f t="shared" si="56"/>
        <v>0</v>
      </c>
      <c r="M48" s="136">
        <f t="shared" si="56"/>
        <v>0</v>
      </c>
      <c r="N48" s="136">
        <f t="shared" si="56"/>
        <v>0</v>
      </c>
      <c r="O48" s="136">
        <f t="shared" si="56"/>
        <v>0</v>
      </c>
      <c r="P48" s="136">
        <f t="shared" si="56"/>
        <v>0</v>
      </c>
      <c r="Q48" s="136">
        <f t="shared" si="56"/>
        <v>0</v>
      </c>
      <c r="R48" s="136">
        <f t="shared" si="56"/>
        <v>0</v>
      </c>
      <c r="S48" s="136">
        <f t="shared" si="56"/>
        <v>0</v>
      </c>
      <c r="T48" s="136">
        <f t="shared" si="56"/>
        <v>0</v>
      </c>
      <c r="U48" s="136">
        <f t="shared" si="56"/>
        <v>0</v>
      </c>
      <c r="V48" s="136">
        <f t="shared" si="56"/>
        <v>0</v>
      </c>
      <c r="W48" s="137">
        <f t="shared" si="40"/>
        <v>0</v>
      </c>
    </row>
    <row r="49" spans="3:23" ht="16.5" outlineLevel="1" thickBot="1" x14ac:dyDescent="0.3">
      <c r="C49" s="17" t="str">
        <f t="shared" si="51"/>
        <v>פרסום, קשרי לקוחות ויח"צ</v>
      </c>
      <c r="D49" s="141" t="str">
        <f t="shared" si="52"/>
        <v/>
      </c>
      <c r="E49" s="141">
        <f t="shared" si="53"/>
        <v>52500</v>
      </c>
      <c r="F49" s="141" t="str">
        <f t="shared" si="53"/>
        <v>לא</v>
      </c>
      <c r="G49" s="141" t="str">
        <f t="shared" si="53"/>
        <v>מכירה ושיווק</v>
      </c>
      <c r="H49" s="141" t="str">
        <f t="shared" si="53"/>
        <v>כן</v>
      </c>
      <c r="I49" s="141" t="str">
        <f t="shared" si="53"/>
        <v>כן</v>
      </c>
      <c r="J49" s="136">
        <f>IF($E$49&lt;&gt;"",J10*$E$49,0)*IF(AND($F$49="כן",$H$49="כן"),1,0)</f>
        <v>0</v>
      </c>
      <c r="K49" s="136">
        <f t="shared" ref="K49:V49" si="57">IF($E$49&lt;&gt;"",K6*$E$49,0)*IF($F$49="כן",1,0)</f>
        <v>0</v>
      </c>
      <c r="L49" s="136">
        <f t="shared" si="57"/>
        <v>0</v>
      </c>
      <c r="M49" s="136">
        <f t="shared" si="57"/>
        <v>0</v>
      </c>
      <c r="N49" s="136">
        <f t="shared" si="57"/>
        <v>0</v>
      </c>
      <c r="O49" s="136">
        <f t="shared" si="57"/>
        <v>0</v>
      </c>
      <c r="P49" s="136">
        <f t="shared" si="57"/>
        <v>0</v>
      </c>
      <c r="Q49" s="136">
        <f t="shared" si="57"/>
        <v>0</v>
      </c>
      <c r="R49" s="136">
        <f t="shared" si="57"/>
        <v>0</v>
      </c>
      <c r="S49" s="136">
        <f t="shared" si="57"/>
        <v>0</v>
      </c>
      <c r="T49" s="136">
        <f t="shared" si="57"/>
        <v>0</v>
      </c>
      <c r="U49" s="136">
        <f t="shared" si="57"/>
        <v>0</v>
      </c>
      <c r="V49" s="136">
        <f t="shared" si="57"/>
        <v>0</v>
      </c>
      <c r="W49" s="137">
        <f t="shared" si="40"/>
        <v>0</v>
      </c>
    </row>
    <row r="50" spans="3:23" ht="16.5" outlineLevel="1" thickBot="1" x14ac:dyDescent="0.3">
      <c r="C50" s="17" t="str">
        <f t="shared" si="51"/>
        <v>הוצאות כלליות</v>
      </c>
      <c r="D50" s="141" t="str">
        <f t="shared" si="52"/>
        <v/>
      </c>
      <c r="E50" s="141">
        <f t="shared" si="53"/>
        <v>140000</v>
      </c>
      <c r="F50" s="141" t="str">
        <f t="shared" si="53"/>
        <v>לא</v>
      </c>
      <c r="G50" s="141" t="str">
        <f t="shared" si="53"/>
        <v>הוצאות אחרות</v>
      </c>
      <c r="H50" s="141" t="str">
        <f t="shared" si="53"/>
        <v>כן</v>
      </c>
      <c r="I50" s="141" t="str">
        <f t="shared" si="53"/>
        <v>כן</v>
      </c>
      <c r="J50" s="136">
        <f>IF($E$50&lt;&gt;"",J11*$E$50,0)*IF(AND($F$50="כן",$H$50="כן"),1,0)</f>
        <v>0</v>
      </c>
      <c r="K50" s="136">
        <f t="shared" ref="K50:V50" si="58">IF($E$50&lt;&gt;"",K6*$E$50,0)*IF($F$50="כן",1,0)</f>
        <v>0</v>
      </c>
      <c r="L50" s="136">
        <f t="shared" si="58"/>
        <v>0</v>
      </c>
      <c r="M50" s="136">
        <f t="shared" si="58"/>
        <v>0</v>
      </c>
      <c r="N50" s="136">
        <f t="shared" si="58"/>
        <v>0</v>
      </c>
      <c r="O50" s="136">
        <f t="shared" si="58"/>
        <v>0</v>
      </c>
      <c r="P50" s="136">
        <f t="shared" si="58"/>
        <v>0</v>
      </c>
      <c r="Q50" s="136">
        <f t="shared" si="58"/>
        <v>0</v>
      </c>
      <c r="R50" s="136">
        <f t="shared" si="58"/>
        <v>0</v>
      </c>
      <c r="S50" s="136">
        <f t="shared" si="58"/>
        <v>0</v>
      </c>
      <c r="T50" s="136">
        <f t="shared" si="58"/>
        <v>0</v>
      </c>
      <c r="U50" s="136">
        <f t="shared" si="58"/>
        <v>0</v>
      </c>
      <c r="V50" s="136">
        <f t="shared" si="58"/>
        <v>0</v>
      </c>
      <c r="W50" s="137">
        <f t="shared" si="40"/>
        <v>0</v>
      </c>
    </row>
    <row r="51" spans="3:23" ht="16.5" outlineLevel="1" thickBot="1" x14ac:dyDescent="0.3">
      <c r="C51" s="17" t="str">
        <f t="shared" si="51"/>
        <v/>
      </c>
      <c r="D51" s="141" t="str">
        <f t="shared" si="52"/>
        <v/>
      </c>
      <c r="E51" s="141" t="str">
        <f t="shared" si="53"/>
        <v/>
      </c>
      <c r="F51" s="141" t="str">
        <f t="shared" si="53"/>
        <v/>
      </c>
      <c r="G51" s="141" t="str">
        <f t="shared" si="53"/>
        <v/>
      </c>
      <c r="H51" s="141" t="str">
        <f t="shared" si="53"/>
        <v/>
      </c>
      <c r="I51" s="141" t="str">
        <f t="shared" si="53"/>
        <v/>
      </c>
      <c r="J51" s="136">
        <f>IF($E$51&lt;&gt;"",J12*$E$51,0)*IF(AND($F$51="כן",$H$51="כן"),1,0)</f>
        <v>0</v>
      </c>
      <c r="K51" s="136">
        <f t="shared" ref="K51:V51" si="59">IF($E$51&lt;&gt;"",K6*$E$51,0)*IF($F$51="כן",1,0)</f>
        <v>0</v>
      </c>
      <c r="L51" s="136">
        <f t="shared" si="59"/>
        <v>0</v>
      </c>
      <c r="M51" s="136">
        <f t="shared" si="59"/>
        <v>0</v>
      </c>
      <c r="N51" s="136">
        <f t="shared" si="59"/>
        <v>0</v>
      </c>
      <c r="O51" s="136">
        <f t="shared" si="59"/>
        <v>0</v>
      </c>
      <c r="P51" s="136">
        <f t="shared" si="59"/>
        <v>0</v>
      </c>
      <c r="Q51" s="136">
        <f t="shared" si="59"/>
        <v>0</v>
      </c>
      <c r="R51" s="136">
        <f t="shared" si="59"/>
        <v>0</v>
      </c>
      <c r="S51" s="136">
        <f t="shared" si="59"/>
        <v>0</v>
      </c>
      <c r="T51" s="136">
        <f t="shared" si="59"/>
        <v>0</v>
      </c>
      <c r="U51" s="136">
        <f t="shared" si="59"/>
        <v>0</v>
      </c>
      <c r="V51" s="136">
        <f t="shared" si="59"/>
        <v>0</v>
      </c>
      <c r="W51" s="137">
        <f t="shared" si="40"/>
        <v>0</v>
      </c>
    </row>
    <row r="52" spans="3:23" ht="16.5" outlineLevel="1" thickBot="1" x14ac:dyDescent="0.3">
      <c r="C52" s="17" t="str">
        <f t="shared" si="51"/>
        <v/>
      </c>
      <c r="D52" s="141" t="str">
        <f t="shared" si="52"/>
        <v/>
      </c>
      <c r="E52" s="141" t="str">
        <f t="shared" si="53"/>
        <v/>
      </c>
      <c r="F52" s="141" t="str">
        <f t="shared" si="53"/>
        <v/>
      </c>
      <c r="G52" s="141" t="str">
        <f t="shared" si="53"/>
        <v/>
      </c>
      <c r="H52" s="141" t="str">
        <f t="shared" si="53"/>
        <v/>
      </c>
      <c r="I52" s="141" t="str">
        <f t="shared" si="53"/>
        <v/>
      </c>
      <c r="J52" s="136">
        <f>IF($E$52&lt;&gt;"",J13*$E$52,0)*IF(AND($F$52="כן",$H$52="כן"),1,0)</f>
        <v>0</v>
      </c>
      <c r="K52" s="136">
        <f t="shared" ref="K52:V52" si="60">IF($E$52&lt;&gt;"",K6*$E$52,0)*IF($F$52="כן",1,0)</f>
        <v>0</v>
      </c>
      <c r="L52" s="136">
        <f t="shared" si="60"/>
        <v>0</v>
      </c>
      <c r="M52" s="136">
        <f t="shared" si="60"/>
        <v>0</v>
      </c>
      <c r="N52" s="136">
        <f t="shared" si="60"/>
        <v>0</v>
      </c>
      <c r="O52" s="136">
        <f t="shared" si="60"/>
        <v>0</v>
      </c>
      <c r="P52" s="136">
        <f t="shared" si="60"/>
        <v>0</v>
      </c>
      <c r="Q52" s="136">
        <f t="shared" si="60"/>
        <v>0</v>
      </c>
      <c r="R52" s="136">
        <f t="shared" si="60"/>
        <v>0</v>
      </c>
      <c r="S52" s="136">
        <f t="shared" si="60"/>
        <v>0</v>
      </c>
      <c r="T52" s="136">
        <f t="shared" si="60"/>
        <v>0</v>
      </c>
      <c r="U52" s="136">
        <f t="shared" si="60"/>
        <v>0</v>
      </c>
      <c r="V52" s="136">
        <f t="shared" si="60"/>
        <v>0</v>
      </c>
      <c r="W52" s="137">
        <f t="shared" si="40"/>
        <v>0</v>
      </c>
    </row>
    <row r="53" spans="3:23" ht="16.5" outlineLevel="1" thickBot="1" x14ac:dyDescent="0.3">
      <c r="C53" s="17" t="str">
        <f>C42</f>
        <v/>
      </c>
      <c r="D53" s="141" t="str">
        <f t="shared" si="52"/>
        <v/>
      </c>
      <c r="E53" s="141" t="str">
        <f t="shared" si="53"/>
        <v/>
      </c>
      <c r="F53" s="141" t="str">
        <f t="shared" si="53"/>
        <v/>
      </c>
      <c r="G53" s="141" t="str">
        <f t="shared" si="53"/>
        <v/>
      </c>
      <c r="H53" s="141" t="str">
        <f t="shared" si="53"/>
        <v/>
      </c>
      <c r="I53" s="141" t="str">
        <f t="shared" si="53"/>
        <v/>
      </c>
      <c r="J53" s="136">
        <f>IF($E$53&lt;&gt;"",J14*$E$53,0)*IF(AND($F$53="כן",$H$53="כן"),1,0)</f>
        <v>0</v>
      </c>
      <c r="K53" s="136">
        <f t="shared" ref="K53:V53" si="61">IF($E$53&lt;&gt;"",K6*$E$53,0)*IF($F$53="כן",1,0)</f>
        <v>0</v>
      </c>
      <c r="L53" s="136">
        <f t="shared" si="61"/>
        <v>0</v>
      </c>
      <c r="M53" s="136">
        <f t="shared" si="61"/>
        <v>0</v>
      </c>
      <c r="N53" s="136">
        <f t="shared" si="61"/>
        <v>0</v>
      </c>
      <c r="O53" s="136">
        <f t="shared" si="61"/>
        <v>0</v>
      </c>
      <c r="P53" s="136">
        <f t="shared" si="61"/>
        <v>0</v>
      </c>
      <c r="Q53" s="136">
        <f t="shared" si="61"/>
        <v>0</v>
      </c>
      <c r="R53" s="136">
        <f t="shared" si="61"/>
        <v>0</v>
      </c>
      <c r="S53" s="136">
        <f t="shared" si="61"/>
        <v>0</v>
      </c>
      <c r="T53" s="136">
        <f t="shared" si="61"/>
        <v>0</v>
      </c>
      <c r="U53" s="136">
        <f t="shared" si="61"/>
        <v>0</v>
      </c>
      <c r="V53" s="136">
        <f t="shared" si="61"/>
        <v>0</v>
      </c>
      <c r="W53" s="137">
        <f t="shared" si="40"/>
        <v>0</v>
      </c>
    </row>
    <row r="54" spans="3:23" ht="16.5" outlineLevel="1" thickBot="1" x14ac:dyDescent="0.3">
      <c r="C54" s="17" t="str">
        <f t="shared" si="51"/>
        <v/>
      </c>
      <c r="D54" s="141" t="str">
        <f t="shared" si="52"/>
        <v/>
      </c>
      <c r="E54" s="141" t="str">
        <f t="shared" si="53"/>
        <v/>
      </c>
      <c r="F54" s="141" t="str">
        <f t="shared" si="53"/>
        <v/>
      </c>
      <c r="G54" s="141" t="str">
        <f t="shared" si="53"/>
        <v/>
      </c>
      <c r="H54" s="141" t="str">
        <f t="shared" si="53"/>
        <v/>
      </c>
      <c r="I54" s="141" t="str">
        <f t="shared" si="53"/>
        <v/>
      </c>
      <c r="J54" s="136">
        <f>IF($E$54&lt;&gt;"",J15*$E$54,0)*IF(AND($F$54="כן",$H$54="כן"),1,0)</f>
        <v>0</v>
      </c>
      <c r="K54" s="136">
        <f t="shared" ref="K54:V54" si="62">IF($E$54&lt;&gt;"",K6*$E$54,0)*IF($F$54="כן",1,0)</f>
        <v>0</v>
      </c>
      <c r="L54" s="136">
        <f t="shared" si="62"/>
        <v>0</v>
      </c>
      <c r="M54" s="136">
        <f t="shared" si="62"/>
        <v>0</v>
      </c>
      <c r="N54" s="136">
        <f t="shared" si="62"/>
        <v>0</v>
      </c>
      <c r="O54" s="136">
        <f t="shared" si="62"/>
        <v>0</v>
      </c>
      <c r="P54" s="136">
        <f t="shared" si="62"/>
        <v>0</v>
      </c>
      <c r="Q54" s="136">
        <f t="shared" si="62"/>
        <v>0</v>
      </c>
      <c r="R54" s="136">
        <f t="shared" si="62"/>
        <v>0</v>
      </c>
      <c r="S54" s="136">
        <f t="shared" si="62"/>
        <v>0</v>
      </c>
      <c r="T54" s="136">
        <f t="shared" si="62"/>
        <v>0</v>
      </c>
      <c r="U54" s="136">
        <f t="shared" si="62"/>
        <v>0</v>
      </c>
      <c r="V54" s="136">
        <f t="shared" si="62"/>
        <v>0</v>
      </c>
      <c r="W54" s="137">
        <f t="shared" si="40"/>
        <v>0</v>
      </c>
    </row>
    <row r="55" spans="3:23" ht="15.75" outlineLevel="1" x14ac:dyDescent="0.25">
      <c r="C55" s="17"/>
      <c r="D55" s="138"/>
      <c r="E55" s="252"/>
      <c r="F55" s="253"/>
      <c r="G55" s="253"/>
      <c r="H55" s="253"/>
      <c r="I55" s="253"/>
      <c r="J55" s="136"/>
      <c r="K55" s="136"/>
      <c r="L55" s="136"/>
      <c r="M55" s="136"/>
      <c r="N55" s="136"/>
      <c r="O55" s="136"/>
      <c r="P55" s="136"/>
      <c r="Q55" s="136"/>
      <c r="R55" s="136"/>
      <c r="S55" s="136"/>
      <c r="T55" s="136"/>
      <c r="U55" s="136"/>
      <c r="V55" s="136"/>
      <c r="W55" s="137"/>
    </row>
    <row r="56" spans="3:23" ht="15.75" outlineLevel="1" x14ac:dyDescent="0.25">
      <c r="C56" s="17"/>
      <c r="D56" s="138"/>
      <c r="E56" s="252"/>
      <c r="F56" s="253"/>
      <c r="G56" s="253"/>
      <c r="H56" s="253"/>
      <c r="I56" s="253"/>
      <c r="J56" s="136"/>
      <c r="K56" s="136"/>
      <c r="L56" s="136"/>
      <c r="M56" s="136"/>
      <c r="N56" s="136"/>
      <c r="O56" s="136"/>
      <c r="P56" s="136"/>
      <c r="Q56" s="136"/>
      <c r="R56" s="136"/>
      <c r="S56" s="136"/>
      <c r="T56" s="136"/>
      <c r="U56" s="136"/>
      <c r="V56" s="136"/>
      <c r="W56" s="137"/>
    </row>
    <row r="57" spans="3:23" ht="15.75" outlineLevel="1" x14ac:dyDescent="0.25">
      <c r="C57" s="17"/>
      <c r="D57" s="138"/>
      <c r="E57" s="138"/>
      <c r="F57" s="138"/>
      <c r="G57" s="138"/>
      <c r="H57" s="138"/>
      <c r="I57" s="138"/>
      <c r="J57" s="136"/>
      <c r="K57" s="136"/>
      <c r="L57" s="136"/>
      <c r="M57" s="136"/>
      <c r="N57" s="136"/>
      <c r="O57" s="136"/>
      <c r="P57" s="136"/>
      <c r="Q57" s="136"/>
      <c r="R57" s="136"/>
      <c r="S57" s="136"/>
      <c r="T57" s="136"/>
      <c r="U57" s="136"/>
      <c r="V57" s="136"/>
      <c r="W57" s="137"/>
    </row>
    <row r="58" spans="3:23" ht="15.75" x14ac:dyDescent="0.25">
      <c r="C58" s="17" t="s">
        <v>53</v>
      </c>
      <c r="D58" s="138"/>
      <c r="E58" s="138"/>
      <c r="F58" s="138"/>
      <c r="G58" s="138"/>
      <c r="H58" s="138"/>
      <c r="I58" s="138"/>
      <c r="J58" s="144">
        <f t="shared" ref="J58:V58" si="63">SUM(J34:J43)</f>
        <v>1020250</v>
      </c>
      <c r="K58" s="144">
        <f t="shared" si="63"/>
        <v>1020250</v>
      </c>
      <c r="L58" s="144">
        <f t="shared" si="63"/>
        <v>1020250</v>
      </c>
      <c r="M58" s="144">
        <f t="shared" si="63"/>
        <v>1020250</v>
      </c>
      <c r="N58" s="144">
        <f t="shared" si="63"/>
        <v>1020250</v>
      </c>
      <c r="O58" s="144">
        <f t="shared" si="63"/>
        <v>1020250</v>
      </c>
      <c r="P58" s="144">
        <f t="shared" si="63"/>
        <v>1224300</v>
      </c>
      <c r="Q58" s="144">
        <f t="shared" si="63"/>
        <v>1428350</v>
      </c>
      <c r="R58" s="144">
        <f t="shared" si="63"/>
        <v>816200</v>
      </c>
      <c r="S58" s="144">
        <f t="shared" si="63"/>
        <v>1428350</v>
      </c>
      <c r="T58" s="144">
        <f t="shared" si="63"/>
        <v>1632400</v>
      </c>
      <c r="U58" s="144">
        <f t="shared" si="63"/>
        <v>1836450</v>
      </c>
      <c r="V58" s="145">
        <f t="shared" si="63"/>
        <v>2040500</v>
      </c>
      <c r="W58" s="146">
        <f t="shared" si="40"/>
        <v>16528050</v>
      </c>
    </row>
    <row r="59" spans="3:23" ht="15.75" x14ac:dyDescent="0.25">
      <c r="C59" s="17"/>
      <c r="D59" s="138"/>
      <c r="E59" s="138"/>
      <c r="F59" s="138"/>
      <c r="G59" s="138"/>
      <c r="H59" s="138"/>
      <c r="I59" s="138"/>
      <c r="J59" s="136"/>
      <c r="K59" s="136"/>
      <c r="L59" s="136"/>
      <c r="M59" s="136"/>
      <c r="N59" s="136"/>
      <c r="O59" s="136"/>
      <c r="P59" s="136"/>
      <c r="Q59" s="136"/>
      <c r="R59" s="136"/>
      <c r="S59" s="136"/>
      <c r="T59" s="136"/>
      <c r="U59" s="136"/>
      <c r="V59" s="136"/>
      <c r="W59" s="137"/>
    </row>
    <row r="60" spans="3:23" ht="16.5" thickBot="1" x14ac:dyDescent="0.3">
      <c r="C60" s="17" t="s">
        <v>7</v>
      </c>
      <c r="D60" s="138"/>
      <c r="E60" s="138"/>
      <c r="F60" s="138"/>
      <c r="G60" s="138"/>
      <c r="H60" s="138"/>
      <c r="I60" s="138"/>
      <c r="J60" s="144">
        <f t="shared" ref="J60:V60" si="64">SUM(J32,J58)</f>
        <v>2126250</v>
      </c>
      <c r="K60" s="144">
        <f t="shared" si="64"/>
        <v>2126250</v>
      </c>
      <c r="L60" s="144">
        <f t="shared" si="64"/>
        <v>2126250</v>
      </c>
      <c r="M60" s="144">
        <f t="shared" si="64"/>
        <v>2126250</v>
      </c>
      <c r="N60" s="144">
        <f t="shared" si="64"/>
        <v>2126250</v>
      </c>
      <c r="O60" s="144">
        <f t="shared" si="64"/>
        <v>2126250</v>
      </c>
      <c r="P60" s="144">
        <f t="shared" si="64"/>
        <v>2330300</v>
      </c>
      <c r="Q60" s="144">
        <f t="shared" si="64"/>
        <v>2534350</v>
      </c>
      <c r="R60" s="144">
        <f t="shared" si="64"/>
        <v>1922200</v>
      </c>
      <c r="S60" s="144">
        <f t="shared" si="64"/>
        <v>2534350</v>
      </c>
      <c r="T60" s="144">
        <f t="shared" si="64"/>
        <v>2738400</v>
      </c>
      <c r="U60" s="144">
        <f t="shared" si="64"/>
        <v>2942450</v>
      </c>
      <c r="V60" s="145">
        <f t="shared" si="64"/>
        <v>3146500</v>
      </c>
      <c r="W60" s="146">
        <f t="shared" si="40"/>
        <v>30906050</v>
      </c>
    </row>
    <row r="61" spans="3:23" ht="16.5" thickBot="1" x14ac:dyDescent="0.3">
      <c r="C61" s="17" t="s">
        <v>74</v>
      </c>
      <c r="D61" s="138"/>
      <c r="E61" s="141">
        <f>Dashboard!D8</f>
        <v>0</v>
      </c>
      <c r="F61" s="138"/>
      <c r="G61" s="138"/>
      <c r="H61" s="138"/>
      <c r="I61" s="138"/>
      <c r="J61" s="136">
        <f>-$E$61</f>
        <v>0</v>
      </c>
      <c r="K61" s="136">
        <f t="shared" ref="K61:V61" si="65">-$E$61</f>
        <v>0</v>
      </c>
      <c r="L61" s="136">
        <f t="shared" si="65"/>
        <v>0</v>
      </c>
      <c r="M61" s="136">
        <f t="shared" si="65"/>
        <v>0</v>
      </c>
      <c r="N61" s="136">
        <f t="shared" si="65"/>
        <v>0</v>
      </c>
      <c r="O61" s="136">
        <f t="shared" si="65"/>
        <v>0</v>
      </c>
      <c r="P61" s="136">
        <f t="shared" si="65"/>
        <v>0</v>
      </c>
      <c r="Q61" s="136">
        <f t="shared" si="65"/>
        <v>0</v>
      </c>
      <c r="R61" s="136">
        <f t="shared" si="65"/>
        <v>0</v>
      </c>
      <c r="S61" s="136">
        <f t="shared" si="65"/>
        <v>0</v>
      </c>
      <c r="T61" s="136">
        <f t="shared" si="65"/>
        <v>0</v>
      </c>
      <c r="U61" s="136">
        <f t="shared" si="65"/>
        <v>0</v>
      </c>
      <c r="V61" s="136">
        <f t="shared" si="65"/>
        <v>0</v>
      </c>
      <c r="W61" s="137">
        <f t="shared" si="40"/>
        <v>0</v>
      </c>
    </row>
    <row r="62" spans="3:23" ht="15.75" x14ac:dyDescent="0.25">
      <c r="C62" s="17" t="s">
        <v>75</v>
      </c>
      <c r="D62" s="138"/>
      <c r="E62" s="138"/>
      <c r="F62" s="138"/>
      <c r="G62" s="138"/>
      <c r="H62" s="138"/>
      <c r="I62" s="138"/>
      <c r="J62" s="136">
        <f>SUM(J60:J61)</f>
        <v>2126250</v>
      </c>
      <c r="K62" s="136">
        <f t="shared" ref="K62:V62" si="66">SUM(K60:K61)</f>
        <v>2126250</v>
      </c>
      <c r="L62" s="136">
        <f t="shared" si="66"/>
        <v>2126250</v>
      </c>
      <c r="M62" s="136">
        <f t="shared" si="66"/>
        <v>2126250</v>
      </c>
      <c r="N62" s="136">
        <f t="shared" si="66"/>
        <v>2126250</v>
      </c>
      <c r="O62" s="136">
        <f t="shared" si="66"/>
        <v>2126250</v>
      </c>
      <c r="P62" s="136">
        <f t="shared" si="66"/>
        <v>2330300</v>
      </c>
      <c r="Q62" s="136">
        <f t="shared" si="66"/>
        <v>2534350</v>
      </c>
      <c r="R62" s="136">
        <f t="shared" si="66"/>
        <v>1922200</v>
      </c>
      <c r="S62" s="136">
        <f t="shared" si="66"/>
        <v>2534350</v>
      </c>
      <c r="T62" s="136">
        <f t="shared" si="66"/>
        <v>2738400</v>
      </c>
      <c r="U62" s="136">
        <f t="shared" si="66"/>
        <v>2942450</v>
      </c>
      <c r="V62" s="136">
        <f t="shared" si="66"/>
        <v>3146500</v>
      </c>
      <c r="W62" s="137">
        <f t="shared" si="40"/>
        <v>30906050</v>
      </c>
    </row>
    <row r="63" spans="3:23" ht="15.75" x14ac:dyDescent="0.25">
      <c r="C63" s="17"/>
      <c r="D63" s="138"/>
      <c r="E63" s="138"/>
      <c r="F63" s="138"/>
      <c r="G63" s="138"/>
      <c r="H63" s="138"/>
      <c r="I63" s="138"/>
      <c r="J63" s="136"/>
      <c r="K63" s="136"/>
      <c r="L63" s="136"/>
      <c r="M63" s="136"/>
      <c r="N63" s="136"/>
      <c r="O63" s="136"/>
      <c r="P63" s="136"/>
      <c r="Q63" s="136"/>
      <c r="R63" s="136"/>
      <c r="S63" s="136"/>
      <c r="T63" s="136"/>
      <c r="U63" s="136"/>
      <c r="V63" s="136"/>
      <c r="W63" s="137"/>
    </row>
    <row r="64" spans="3:23" ht="15.75" x14ac:dyDescent="0.25">
      <c r="C64" s="17" t="s">
        <v>58</v>
      </c>
      <c r="D64" s="138"/>
      <c r="E64" s="138"/>
      <c r="F64" s="138"/>
      <c r="G64" s="138"/>
      <c r="H64" s="138"/>
      <c r="I64" s="138"/>
      <c r="J64" s="136">
        <f t="shared" ref="J64:V64" si="67">SUMIFS(J34:J43,$F$34:$F$43,"כן")+SUMIFS(J9:J18,$F$9:$F$18,"כן")</f>
        <v>1106000</v>
      </c>
      <c r="K64" s="136">
        <f t="shared" si="67"/>
        <v>1106000</v>
      </c>
      <c r="L64" s="136">
        <f t="shared" si="67"/>
        <v>1106000</v>
      </c>
      <c r="M64" s="136">
        <f t="shared" si="67"/>
        <v>1106000</v>
      </c>
      <c r="N64" s="136">
        <f t="shared" si="67"/>
        <v>1106000</v>
      </c>
      <c r="O64" s="136">
        <f t="shared" si="67"/>
        <v>1106000</v>
      </c>
      <c r="P64" s="136">
        <f t="shared" si="67"/>
        <v>1106000</v>
      </c>
      <c r="Q64" s="136">
        <f t="shared" si="67"/>
        <v>1106000</v>
      </c>
      <c r="R64" s="136">
        <f t="shared" si="67"/>
        <v>1106000</v>
      </c>
      <c r="S64" s="136">
        <f t="shared" si="67"/>
        <v>1106000</v>
      </c>
      <c r="T64" s="136">
        <f t="shared" si="67"/>
        <v>1106000</v>
      </c>
      <c r="U64" s="136">
        <f t="shared" si="67"/>
        <v>1106000</v>
      </c>
      <c r="V64" s="136">
        <f t="shared" si="67"/>
        <v>1106000</v>
      </c>
      <c r="W64" s="137">
        <f t="shared" si="40"/>
        <v>14378000</v>
      </c>
    </row>
    <row r="65" spans="3:23" ht="15.75" x14ac:dyDescent="0.25">
      <c r="C65" s="17"/>
      <c r="D65" s="138"/>
      <c r="E65" s="138"/>
      <c r="F65" s="138"/>
      <c r="G65" s="138"/>
      <c r="H65" s="138"/>
      <c r="I65" s="138"/>
      <c r="J65" s="136"/>
      <c r="K65" s="136"/>
      <c r="L65" s="136"/>
      <c r="M65" s="136"/>
      <c r="N65" s="136"/>
      <c r="O65" s="136"/>
      <c r="P65" s="136"/>
      <c r="Q65" s="136"/>
      <c r="R65" s="136"/>
      <c r="S65" s="136"/>
      <c r="T65" s="136"/>
      <c r="U65" s="136"/>
      <c r="V65" s="136"/>
      <c r="W65" s="137"/>
    </row>
    <row r="66" spans="3:23" ht="15.75" x14ac:dyDescent="0.25">
      <c r="C66" s="17" t="s">
        <v>64</v>
      </c>
      <c r="D66" s="138"/>
      <c r="E66" s="138"/>
      <c r="F66" s="138"/>
      <c r="G66" s="138"/>
      <c r="H66" s="138"/>
      <c r="I66" s="138"/>
      <c r="J66" s="136">
        <f t="shared" ref="J66:V66" si="68">IF(J3=1,J62,J64)</f>
        <v>2126250</v>
      </c>
      <c r="K66" s="136">
        <f t="shared" si="68"/>
        <v>2126250</v>
      </c>
      <c r="L66" s="136">
        <f t="shared" si="68"/>
        <v>2126250</v>
      </c>
      <c r="M66" s="136">
        <f t="shared" si="68"/>
        <v>2126250</v>
      </c>
      <c r="N66" s="136">
        <f t="shared" si="68"/>
        <v>2126250</v>
      </c>
      <c r="O66" s="136">
        <f t="shared" si="68"/>
        <v>2126250</v>
      </c>
      <c r="P66" s="136">
        <f t="shared" si="68"/>
        <v>2330300</v>
      </c>
      <c r="Q66" s="136">
        <f t="shared" si="68"/>
        <v>2534350</v>
      </c>
      <c r="R66" s="136">
        <f t="shared" si="68"/>
        <v>1922200</v>
      </c>
      <c r="S66" s="136">
        <f t="shared" si="68"/>
        <v>2534350</v>
      </c>
      <c r="T66" s="136">
        <f t="shared" si="68"/>
        <v>2738400</v>
      </c>
      <c r="U66" s="136">
        <f t="shared" si="68"/>
        <v>2942450</v>
      </c>
      <c r="V66" s="136">
        <f t="shared" si="68"/>
        <v>3146500</v>
      </c>
      <c r="W66" s="137">
        <f t="shared" si="40"/>
        <v>30906050</v>
      </c>
    </row>
    <row r="67" spans="3:23" ht="16.5" thickBot="1" x14ac:dyDescent="0.3">
      <c r="C67" s="64"/>
      <c r="D67" s="147"/>
      <c r="E67" s="147"/>
      <c r="F67" s="147"/>
      <c r="G67" s="147"/>
      <c r="H67" s="147"/>
      <c r="I67" s="147"/>
      <c r="J67" s="148"/>
      <c r="K67" s="148"/>
      <c r="L67" s="148"/>
      <c r="M67" s="148"/>
      <c r="N67" s="148"/>
      <c r="O67" s="148"/>
      <c r="P67" s="148"/>
      <c r="Q67" s="148"/>
      <c r="R67" s="148"/>
      <c r="S67" s="148"/>
      <c r="T67" s="148"/>
      <c r="U67" s="148"/>
      <c r="V67" s="148"/>
      <c r="W67" s="41">
        <f>AVERAGE(J66:V66)</f>
        <v>2377388.4615384615</v>
      </c>
    </row>
    <row r="68" spans="3:23" ht="15.75" thickBot="1" x14ac:dyDescent="0.3"/>
    <row r="69" spans="3:23" ht="15.75" x14ac:dyDescent="0.25">
      <c r="C69" s="22" t="s">
        <v>136</v>
      </c>
      <c r="D69" s="34"/>
      <c r="E69" s="34"/>
      <c r="F69" s="67"/>
      <c r="G69" s="67"/>
      <c r="H69" s="67"/>
      <c r="I69" s="34"/>
      <c r="J69" s="34">
        <f>הנחות!F6</f>
        <v>43983</v>
      </c>
      <c r="K69" s="34">
        <f>EDATE(J69,1)</f>
        <v>44013</v>
      </c>
      <c r="L69" s="34">
        <f t="shared" ref="L69:V69" si="69">EDATE(K69,1)</f>
        <v>44044</v>
      </c>
      <c r="M69" s="34">
        <f t="shared" si="69"/>
        <v>44075</v>
      </c>
      <c r="N69" s="34">
        <f t="shared" si="69"/>
        <v>44105</v>
      </c>
      <c r="O69" s="34">
        <f t="shared" si="69"/>
        <v>44136</v>
      </c>
      <c r="P69" s="34">
        <f t="shared" si="69"/>
        <v>44166</v>
      </c>
      <c r="Q69" s="34">
        <f t="shared" si="69"/>
        <v>44197</v>
      </c>
      <c r="R69" s="34">
        <f t="shared" si="69"/>
        <v>44228</v>
      </c>
      <c r="S69" s="34">
        <f t="shared" si="69"/>
        <v>44256</v>
      </c>
      <c r="T69" s="34">
        <f t="shared" si="69"/>
        <v>44287</v>
      </c>
      <c r="U69" s="34">
        <f t="shared" si="69"/>
        <v>44317</v>
      </c>
      <c r="V69" s="34">
        <f t="shared" si="69"/>
        <v>44348</v>
      </c>
      <c r="W69" s="20" t="s">
        <v>23</v>
      </c>
    </row>
    <row r="70" spans="3:23" ht="15.75" x14ac:dyDescent="0.25">
      <c r="C70" s="17"/>
      <c r="D70" s="138"/>
      <c r="E70" s="138"/>
      <c r="F70" s="138"/>
      <c r="G70" s="138"/>
      <c r="H70" s="138"/>
      <c r="I70" s="138"/>
      <c r="J70" s="136"/>
      <c r="K70" s="136"/>
      <c r="L70" s="136"/>
      <c r="M70" s="136"/>
      <c r="N70" s="136"/>
      <c r="O70" s="136"/>
      <c r="P70" s="136"/>
      <c r="Q70" s="136"/>
      <c r="R70" s="136"/>
      <c r="S70" s="136"/>
      <c r="T70" s="136"/>
      <c r="U70" s="136"/>
      <c r="V70" s="136"/>
      <c r="W70" s="137"/>
    </row>
    <row r="71" spans="3:23" ht="15.75" x14ac:dyDescent="0.25">
      <c r="C71" s="17" t="s">
        <v>137</v>
      </c>
      <c r="D71" s="138"/>
      <c r="E71" s="138"/>
      <c r="F71" s="138"/>
      <c r="G71" s="138"/>
      <c r="H71" s="138"/>
      <c r="I71" s="138"/>
      <c r="J71" s="151" t="str">
        <f t="shared" ref="J71:V71" si="70">IF(J3=1,"YES","NO")</f>
        <v>YES</v>
      </c>
      <c r="K71" s="151" t="str">
        <f t="shared" si="70"/>
        <v>YES</v>
      </c>
      <c r="L71" s="151" t="str">
        <f t="shared" si="70"/>
        <v>YES</v>
      </c>
      <c r="M71" s="151" t="str">
        <f t="shared" si="70"/>
        <v>YES</v>
      </c>
      <c r="N71" s="151" t="str">
        <f t="shared" si="70"/>
        <v>YES</v>
      </c>
      <c r="O71" s="151" t="str">
        <f t="shared" si="70"/>
        <v>YES</v>
      </c>
      <c r="P71" s="151" t="str">
        <f t="shared" si="70"/>
        <v>YES</v>
      </c>
      <c r="Q71" s="151" t="str">
        <f t="shared" si="70"/>
        <v>YES</v>
      </c>
      <c r="R71" s="151" t="str">
        <f t="shared" si="70"/>
        <v>YES</v>
      </c>
      <c r="S71" s="151" t="str">
        <f t="shared" si="70"/>
        <v>YES</v>
      </c>
      <c r="T71" s="151" t="str">
        <f t="shared" si="70"/>
        <v>YES</v>
      </c>
      <c r="U71" s="151" t="str">
        <f t="shared" si="70"/>
        <v>YES</v>
      </c>
      <c r="V71" s="151" t="str">
        <f t="shared" si="70"/>
        <v>YES</v>
      </c>
      <c r="W71" s="137"/>
    </row>
    <row r="72" spans="3:23" ht="15.75" x14ac:dyDescent="0.25">
      <c r="C72" s="17" t="s">
        <v>138</v>
      </c>
      <c r="D72" s="138"/>
      <c r="E72" s="138"/>
      <c r="F72" s="138"/>
      <c r="G72" s="138"/>
      <c r="H72" s="138"/>
      <c r="I72" s="138"/>
      <c r="J72" s="136"/>
      <c r="K72" s="136"/>
      <c r="L72" s="136"/>
      <c r="M72" s="136"/>
      <c r="N72" s="136"/>
      <c r="O72" s="136"/>
      <c r="P72" s="136"/>
      <c r="Q72" s="136"/>
      <c r="R72" s="136"/>
      <c r="S72" s="136"/>
      <c r="T72" s="136"/>
      <c r="U72" s="136"/>
      <c r="V72" s="136"/>
      <c r="W72" s="137"/>
    </row>
    <row r="73" spans="3:23" ht="15.75" x14ac:dyDescent="0.25">
      <c r="C73" s="17" t="s">
        <v>108</v>
      </c>
      <c r="D73" s="138"/>
      <c r="E73" s="138"/>
      <c r="F73" s="138"/>
      <c r="G73" s="138"/>
      <c r="H73" s="138"/>
      <c r="I73" s="138"/>
      <c r="J73" s="136">
        <f>IF(J71="YES",SUMIFS(J34:J43,$G$34:$G$43,$C$73)+SUMIFS(J9:J18,$G$9:$G$18,$C$73),SUMIFS(J45:J54,$G$45:$G$54,$C$73)+SUMIFS(J20:J29,$G$20:$G$29,$C$73))</f>
        <v>1354500</v>
      </c>
      <c r="K73" s="136">
        <f t="shared" ref="K73:V73" si="71">IF(K71="YES",SUMIFS(K34:K43,$G$34:$G$43,$C$73)+SUMIFS(K9:K18,$G$9:$G$18,$C$73),SUMIFS(K45:K54,$G$45:$G$54,$C$73)+SUMIFS(K20:K29,$G$20:$G$29,$C$73))</f>
        <v>1354500</v>
      </c>
      <c r="L73" s="136">
        <f t="shared" si="71"/>
        <v>1354500</v>
      </c>
      <c r="M73" s="136">
        <f t="shared" si="71"/>
        <v>1354500</v>
      </c>
      <c r="N73" s="136">
        <f t="shared" si="71"/>
        <v>1354500</v>
      </c>
      <c r="O73" s="136">
        <f t="shared" si="71"/>
        <v>1354500</v>
      </c>
      <c r="P73" s="136">
        <f t="shared" si="71"/>
        <v>1539300</v>
      </c>
      <c r="Q73" s="136">
        <f t="shared" si="71"/>
        <v>1724100</v>
      </c>
      <c r="R73" s="136">
        <f t="shared" si="71"/>
        <v>1169700</v>
      </c>
      <c r="S73" s="136">
        <f t="shared" si="71"/>
        <v>1724100</v>
      </c>
      <c r="T73" s="136">
        <f t="shared" si="71"/>
        <v>1908900</v>
      </c>
      <c r="U73" s="136">
        <f t="shared" si="71"/>
        <v>2093700</v>
      </c>
      <c r="V73" s="136">
        <f t="shared" si="71"/>
        <v>2278500</v>
      </c>
      <c r="W73" s="137">
        <f>SUM(J73:V73)</f>
        <v>20565300</v>
      </c>
    </row>
    <row r="74" spans="3:23" ht="15.75" x14ac:dyDescent="0.25">
      <c r="C74" s="17" t="s">
        <v>109</v>
      </c>
      <c r="D74" s="138"/>
      <c r="E74" s="138"/>
      <c r="F74" s="138"/>
      <c r="G74" s="138"/>
      <c r="H74" s="138"/>
      <c r="I74" s="138"/>
      <c r="J74" s="136">
        <f>IF(J71="YES",SUMIFS(J34:J43,$G$34:$G$43,$C$74)+SUMIFS(J9:J18,$G$9:$G$18,$C$74),SUMIFS(J45:J54,$G$45:$G$54,$C$74)+SUMIFS(J20:J29,$G$20:$G$29,$C$74))</f>
        <v>350000</v>
      </c>
      <c r="K74" s="136">
        <f t="shared" ref="K74:V74" si="72">IF(K71="YES",SUMIFS(K34:K43,$G$34:$G$43,$C$74)+SUMIFS(K9:K18,$G$9:$G$18,$C$74),SUMIFS(K45:K54,$G$45:$G$54,$C$74)+SUMIFS(K20:K29,$G$20:$G$29,$C$74))</f>
        <v>350000</v>
      </c>
      <c r="L74" s="136">
        <f t="shared" si="72"/>
        <v>350000</v>
      </c>
      <c r="M74" s="136">
        <f t="shared" si="72"/>
        <v>350000</v>
      </c>
      <c r="N74" s="136">
        <f t="shared" si="72"/>
        <v>350000</v>
      </c>
      <c r="O74" s="136">
        <f t="shared" si="72"/>
        <v>350000</v>
      </c>
      <c r="P74" s="136">
        <f t="shared" si="72"/>
        <v>350000</v>
      </c>
      <c r="Q74" s="136">
        <f t="shared" si="72"/>
        <v>350000</v>
      </c>
      <c r="R74" s="136">
        <f t="shared" si="72"/>
        <v>350000</v>
      </c>
      <c r="S74" s="136">
        <f t="shared" si="72"/>
        <v>350000</v>
      </c>
      <c r="T74" s="136">
        <f t="shared" si="72"/>
        <v>350000</v>
      </c>
      <c r="U74" s="136">
        <f t="shared" si="72"/>
        <v>350000</v>
      </c>
      <c r="V74" s="136">
        <f t="shared" si="72"/>
        <v>350000</v>
      </c>
      <c r="W74" s="137">
        <f t="shared" ref="W74:W93" si="73">SUM(J74:V74)</f>
        <v>4550000</v>
      </c>
    </row>
    <row r="75" spans="3:23" ht="15.75" x14ac:dyDescent="0.25">
      <c r="C75" s="17" t="s">
        <v>110</v>
      </c>
      <c r="D75" s="138"/>
      <c r="E75" s="138"/>
      <c r="F75" s="138"/>
      <c r="G75" s="138"/>
      <c r="H75" s="138"/>
      <c r="I75" s="138"/>
      <c r="J75" s="136">
        <f>IF(J71="YES",SUMIFS(J34:J43,$G$34:$G$43,$C$75)+SUMIFS(J9:J18,$G$9:$G$18,$C$75),SUMIFS(J45:J54,$G$45:$G$54,$C$75)+SUMIFS(J20:J29,$G$20:$G$29,$C$75))</f>
        <v>43750</v>
      </c>
      <c r="K75" s="136">
        <f t="shared" ref="K75:V75" si="74">IF(K71="YES",SUMIFS(K34:K43,$G$34:$G$43,$C$75)+SUMIFS(K9:K18,$G$9:$G$18,$C$75),SUMIFS(K45:K54,$G$45:$G$54,$C$75)+SUMIFS(K20:K29,$G$20:$G$29,$C$75))</f>
        <v>43750</v>
      </c>
      <c r="L75" s="136">
        <f t="shared" si="74"/>
        <v>43750</v>
      </c>
      <c r="M75" s="136">
        <f t="shared" si="74"/>
        <v>43750</v>
      </c>
      <c r="N75" s="136">
        <f t="shared" si="74"/>
        <v>43750</v>
      </c>
      <c r="O75" s="136">
        <f t="shared" si="74"/>
        <v>43750</v>
      </c>
      <c r="P75" s="136">
        <f t="shared" si="74"/>
        <v>49000</v>
      </c>
      <c r="Q75" s="136">
        <f t="shared" si="74"/>
        <v>54250</v>
      </c>
      <c r="R75" s="136">
        <f t="shared" si="74"/>
        <v>38500</v>
      </c>
      <c r="S75" s="136">
        <f t="shared" si="74"/>
        <v>54250</v>
      </c>
      <c r="T75" s="136">
        <f t="shared" si="74"/>
        <v>59500</v>
      </c>
      <c r="U75" s="136">
        <f t="shared" si="74"/>
        <v>64750</v>
      </c>
      <c r="V75" s="136">
        <f t="shared" si="74"/>
        <v>70000</v>
      </c>
      <c r="W75" s="137">
        <f t="shared" si="73"/>
        <v>652750</v>
      </c>
    </row>
    <row r="76" spans="3:23" ht="15.75" x14ac:dyDescent="0.25">
      <c r="C76" s="17" t="s">
        <v>111</v>
      </c>
      <c r="D76" s="138"/>
      <c r="E76" s="138"/>
      <c r="F76" s="138"/>
      <c r="G76" s="138"/>
      <c r="H76" s="138"/>
      <c r="I76" s="138"/>
      <c r="J76" s="136">
        <f>IF(J71="YES",SUMIFS(J34:J43,$G$34:$G$43,$C$76)+SUMIFS(J9:J18,$G$9:$G$18,$C$76),SUMIFS(J45:J54,$G$45:$G$54,$C$76)+SUMIFS(J20:J29,$G$20:$G$29,$C$76))</f>
        <v>70000</v>
      </c>
      <c r="K76" s="136">
        <f t="shared" ref="K76:V76" si="75">IF(K71="YES",SUMIFS(K34:K43,$G$34:$G$43,$C$76)+SUMIFS(K9:K18,$G$9:$G$18,$C$76),SUMIFS(K45:K54,$G$45:$G$54,$C$76)+SUMIFS(K20:K29,$G$20:$G$29,$C$76))</f>
        <v>70000</v>
      </c>
      <c r="L76" s="136">
        <f t="shared" si="75"/>
        <v>70000</v>
      </c>
      <c r="M76" s="136">
        <f t="shared" si="75"/>
        <v>70000</v>
      </c>
      <c r="N76" s="136">
        <f t="shared" si="75"/>
        <v>70000</v>
      </c>
      <c r="O76" s="136">
        <f t="shared" si="75"/>
        <v>70000</v>
      </c>
      <c r="P76" s="136">
        <f t="shared" si="75"/>
        <v>84000</v>
      </c>
      <c r="Q76" s="136">
        <f t="shared" si="75"/>
        <v>98000</v>
      </c>
      <c r="R76" s="136">
        <f t="shared" si="75"/>
        <v>56000</v>
      </c>
      <c r="S76" s="136">
        <f t="shared" si="75"/>
        <v>98000</v>
      </c>
      <c r="T76" s="136">
        <f t="shared" si="75"/>
        <v>112000</v>
      </c>
      <c r="U76" s="136">
        <f t="shared" si="75"/>
        <v>126000</v>
      </c>
      <c r="V76" s="136">
        <f t="shared" si="75"/>
        <v>140000</v>
      </c>
      <c r="W76" s="137">
        <f t="shared" si="73"/>
        <v>1134000</v>
      </c>
    </row>
    <row r="77" spans="3:23" ht="16.5" outlineLevel="1" thickBot="1" x14ac:dyDescent="0.3">
      <c r="C77" s="17" t="s">
        <v>254</v>
      </c>
      <c r="D77" s="138"/>
      <c r="E77" s="138"/>
      <c r="F77" s="138"/>
      <c r="G77" s="138"/>
      <c r="H77" s="138"/>
      <c r="I77" s="138"/>
      <c r="J77" s="136">
        <f>IF(J71="YES",SUMIFS(J34:J43,$G$34:$G$43,$C$79)+SUMIFS(J9:J18,$G$9:$G$18,$C$79),SUMIFS(J45:J54,$G$45:$G$54,$C$79)+SUMIFS(J20:J29,$G$20:$G$29,$C$79))</f>
        <v>98000</v>
      </c>
      <c r="K77" s="136">
        <f t="shared" ref="K77:V77" si="76">IF(K71="YES",SUMIFS(K34:K43,$G$34:$G$43,$C$79)+SUMIFS(K9:K18,$G$9:$G$18,$C$79),SUMIFS(K45:K54,$G$45:$G$54,$C$79)+SUMIFS(K20:K29,$G$20:$G$29,$C$79))</f>
        <v>98000</v>
      </c>
      <c r="L77" s="136">
        <f t="shared" si="76"/>
        <v>98000</v>
      </c>
      <c r="M77" s="136">
        <f t="shared" si="76"/>
        <v>98000</v>
      </c>
      <c r="N77" s="136">
        <f t="shared" si="76"/>
        <v>98000</v>
      </c>
      <c r="O77" s="136">
        <f t="shared" si="76"/>
        <v>98000</v>
      </c>
      <c r="P77" s="136">
        <f t="shared" si="76"/>
        <v>98000</v>
      </c>
      <c r="Q77" s="136">
        <f t="shared" si="76"/>
        <v>98000</v>
      </c>
      <c r="R77" s="136">
        <f t="shared" si="76"/>
        <v>98000</v>
      </c>
      <c r="S77" s="136">
        <f t="shared" si="76"/>
        <v>98000</v>
      </c>
      <c r="T77" s="136">
        <f t="shared" si="76"/>
        <v>98000</v>
      </c>
      <c r="U77" s="136">
        <f t="shared" si="76"/>
        <v>98000</v>
      </c>
      <c r="V77" s="136">
        <f t="shared" si="76"/>
        <v>98000</v>
      </c>
      <c r="W77" s="137">
        <f t="shared" si="73"/>
        <v>1274000</v>
      </c>
    </row>
    <row r="78" spans="3:23" ht="16.5" outlineLevel="1" thickBot="1" x14ac:dyDescent="0.3">
      <c r="C78" s="17" t="s">
        <v>255</v>
      </c>
      <c r="D78" s="138"/>
      <c r="E78" s="251" t="str">
        <f>IF(SUM(J78:V78)&lt;&gt;0,"YES","NO")</f>
        <v>YES</v>
      </c>
      <c r="F78" s="138"/>
      <c r="G78" s="138"/>
      <c r="J78" s="136">
        <f>'הלוואה והוצאות מימון'!J10</f>
        <v>80000</v>
      </c>
      <c r="K78" s="136">
        <f>'הלוואה והוצאות מימון'!K10</f>
        <v>78000</v>
      </c>
      <c r="L78" s="136">
        <f>'הלוואה והוצאות מימון'!L10</f>
        <v>76000</v>
      </c>
      <c r="M78" s="136">
        <f>'הלוואה והוצאות מימון'!M10</f>
        <v>74000</v>
      </c>
      <c r="N78" s="136">
        <f>'הלוואה והוצאות מימון'!N10</f>
        <v>72000</v>
      </c>
      <c r="O78" s="136">
        <f>'הלוואה והוצאות מימון'!O10</f>
        <v>70000</v>
      </c>
      <c r="P78" s="136">
        <f>'הלוואה והוצאות מימון'!P10</f>
        <v>68000</v>
      </c>
      <c r="Q78" s="136">
        <f>'הלוואה והוצאות מימון'!Q10</f>
        <v>66000</v>
      </c>
      <c r="R78" s="136">
        <f>'הלוואה והוצאות מימון'!R10</f>
        <v>64000</v>
      </c>
      <c r="S78" s="136">
        <f>'הלוואה והוצאות מימון'!S10</f>
        <v>62000</v>
      </c>
      <c r="T78" s="136">
        <f>'הלוואה והוצאות מימון'!T10</f>
        <v>60000</v>
      </c>
      <c r="U78" s="136">
        <f>'הלוואה והוצאות מימון'!U10</f>
        <v>58000</v>
      </c>
      <c r="V78" s="136">
        <f>'הלוואה והוצאות מימון'!V10</f>
        <v>56000</v>
      </c>
      <c r="W78" s="137">
        <f t="shared" si="73"/>
        <v>884000</v>
      </c>
    </row>
    <row r="79" spans="3:23" ht="15.75" x14ac:dyDescent="0.25">
      <c r="C79" s="17" t="s">
        <v>0</v>
      </c>
      <c r="D79" s="138"/>
      <c r="E79" s="138"/>
      <c r="F79" s="138"/>
      <c r="G79" s="138"/>
      <c r="I79" s="138"/>
      <c r="J79" s="136">
        <f t="shared" ref="J79:V79" si="77">IF($E$78="YES",J78,J77)</f>
        <v>80000</v>
      </c>
      <c r="K79" s="136">
        <f t="shared" si="77"/>
        <v>78000</v>
      </c>
      <c r="L79" s="136">
        <f t="shared" si="77"/>
        <v>76000</v>
      </c>
      <c r="M79" s="136">
        <f t="shared" si="77"/>
        <v>74000</v>
      </c>
      <c r="N79" s="136">
        <f t="shared" si="77"/>
        <v>72000</v>
      </c>
      <c r="O79" s="136">
        <f t="shared" si="77"/>
        <v>70000</v>
      </c>
      <c r="P79" s="136">
        <f t="shared" si="77"/>
        <v>68000</v>
      </c>
      <c r="Q79" s="136">
        <f t="shared" si="77"/>
        <v>66000</v>
      </c>
      <c r="R79" s="136">
        <f t="shared" si="77"/>
        <v>64000</v>
      </c>
      <c r="S79" s="136">
        <f t="shared" si="77"/>
        <v>62000</v>
      </c>
      <c r="T79" s="136">
        <f t="shared" si="77"/>
        <v>60000</v>
      </c>
      <c r="U79" s="136">
        <f t="shared" si="77"/>
        <v>58000</v>
      </c>
      <c r="V79" s="136">
        <f t="shared" si="77"/>
        <v>56000</v>
      </c>
      <c r="W79" s="137">
        <f t="shared" si="73"/>
        <v>884000</v>
      </c>
    </row>
    <row r="80" spans="3:23" ht="16.5" outlineLevel="1" thickBot="1" x14ac:dyDescent="0.3">
      <c r="C80" s="17" t="s">
        <v>258</v>
      </c>
      <c r="D80" s="138"/>
      <c r="E80" s="138"/>
      <c r="F80" s="138"/>
      <c r="G80" s="138"/>
      <c r="I80" s="138"/>
      <c r="J80" s="136">
        <f>SUMIFS(J34:J43,$G$34:$G$43,$C$82)+SUMIFS(J9:J18,$G$9:$G$18,$C$82)</f>
        <v>110000.00000000001</v>
      </c>
      <c r="K80" s="136">
        <f t="shared" ref="K80:V80" si="78">SUMIFS(K34:K43,$G$34:$G$43,$C$82)+SUMIFS(K9:K18,$G$9:$G$18,$C$82)</f>
        <v>110000.00000000001</v>
      </c>
      <c r="L80" s="136">
        <f t="shared" si="78"/>
        <v>110000.00000000001</v>
      </c>
      <c r="M80" s="136">
        <f t="shared" si="78"/>
        <v>110000.00000000001</v>
      </c>
      <c r="N80" s="136">
        <f t="shared" si="78"/>
        <v>110000.00000000001</v>
      </c>
      <c r="O80" s="136">
        <f t="shared" si="78"/>
        <v>110000.00000000001</v>
      </c>
      <c r="P80" s="136">
        <f t="shared" si="78"/>
        <v>110000.00000000001</v>
      </c>
      <c r="Q80" s="136">
        <f t="shared" si="78"/>
        <v>110000.00000000001</v>
      </c>
      <c r="R80" s="136">
        <f t="shared" si="78"/>
        <v>110000.00000000001</v>
      </c>
      <c r="S80" s="136">
        <f t="shared" si="78"/>
        <v>110000.00000000001</v>
      </c>
      <c r="T80" s="136">
        <f t="shared" si="78"/>
        <v>110000.00000000001</v>
      </c>
      <c r="U80" s="136">
        <f t="shared" si="78"/>
        <v>110000.00000000001</v>
      </c>
      <c r="V80" s="136">
        <f t="shared" si="78"/>
        <v>110000.00000000001</v>
      </c>
      <c r="W80" s="137">
        <f t="shared" si="73"/>
        <v>1430000.0000000002</v>
      </c>
    </row>
    <row r="81" spans="3:23" ht="16.5" outlineLevel="1" thickBot="1" x14ac:dyDescent="0.3">
      <c r="C81" s="17" t="s">
        <v>259</v>
      </c>
      <c r="D81" s="138"/>
      <c r="E81" s="251" t="str">
        <f>IF(SUM(J81:V81)&lt;&gt;0,"YES","NO")</f>
        <v>NO</v>
      </c>
      <c r="F81" s="138"/>
      <c r="G81" s="138"/>
      <c r="I81" s="138"/>
      <c r="J81" s="136">
        <f>'השקעות ופחת'!J12</f>
        <v>0</v>
      </c>
      <c r="K81" s="136">
        <f>'השקעות ופחת'!K12</f>
        <v>0</v>
      </c>
      <c r="L81" s="136">
        <f>'השקעות ופחת'!L12</f>
        <v>0</v>
      </c>
      <c r="M81" s="136">
        <f>'השקעות ופחת'!M12</f>
        <v>0</v>
      </c>
      <c r="N81" s="136">
        <f>'השקעות ופחת'!N12</f>
        <v>0</v>
      </c>
      <c r="O81" s="136">
        <f>'השקעות ופחת'!O12</f>
        <v>0</v>
      </c>
      <c r="P81" s="136">
        <f>'השקעות ופחת'!P12</f>
        <v>0</v>
      </c>
      <c r="Q81" s="136">
        <f>'השקעות ופחת'!Q12</f>
        <v>0</v>
      </c>
      <c r="R81" s="136">
        <f>'השקעות ופחת'!R12</f>
        <v>0</v>
      </c>
      <c r="S81" s="136">
        <f>'השקעות ופחת'!S12</f>
        <v>0</v>
      </c>
      <c r="T81" s="136">
        <f>'השקעות ופחת'!T12</f>
        <v>0</v>
      </c>
      <c r="U81" s="136">
        <f>'השקעות ופחת'!U12</f>
        <v>0</v>
      </c>
      <c r="V81" s="136">
        <f>'השקעות ופחת'!V12</f>
        <v>0</v>
      </c>
      <c r="W81" s="137">
        <f t="shared" si="73"/>
        <v>0</v>
      </c>
    </row>
    <row r="82" spans="3:23" ht="15.75" x14ac:dyDescent="0.25">
      <c r="C82" s="17" t="s">
        <v>199</v>
      </c>
      <c r="D82" s="138"/>
      <c r="E82" s="138"/>
      <c r="F82" s="138"/>
      <c r="G82" s="138"/>
      <c r="I82" s="138"/>
      <c r="J82" s="136">
        <f t="shared" ref="J82:V82" si="79">IF($E$81="YES",J81,J80)</f>
        <v>110000.00000000001</v>
      </c>
      <c r="K82" s="136">
        <f t="shared" si="79"/>
        <v>110000.00000000001</v>
      </c>
      <c r="L82" s="136">
        <f t="shared" si="79"/>
        <v>110000.00000000001</v>
      </c>
      <c r="M82" s="136">
        <f t="shared" si="79"/>
        <v>110000.00000000001</v>
      </c>
      <c r="N82" s="136">
        <f t="shared" si="79"/>
        <v>110000.00000000001</v>
      </c>
      <c r="O82" s="136">
        <f t="shared" si="79"/>
        <v>110000.00000000001</v>
      </c>
      <c r="P82" s="136">
        <f t="shared" si="79"/>
        <v>110000.00000000001</v>
      </c>
      <c r="Q82" s="136">
        <f t="shared" si="79"/>
        <v>110000.00000000001</v>
      </c>
      <c r="R82" s="136">
        <f t="shared" si="79"/>
        <v>110000.00000000001</v>
      </c>
      <c r="S82" s="136">
        <f t="shared" si="79"/>
        <v>110000.00000000001</v>
      </c>
      <c r="T82" s="136">
        <f t="shared" si="79"/>
        <v>110000.00000000001</v>
      </c>
      <c r="U82" s="136">
        <f t="shared" si="79"/>
        <v>110000.00000000001</v>
      </c>
      <c r="V82" s="136">
        <f t="shared" si="79"/>
        <v>110000.00000000001</v>
      </c>
      <c r="W82" s="137">
        <f t="shared" si="73"/>
        <v>1430000.0000000002</v>
      </c>
    </row>
    <row r="83" spans="3:23" ht="16.5" outlineLevel="1" thickBot="1" x14ac:dyDescent="0.3">
      <c r="C83" s="17" t="s">
        <v>260</v>
      </c>
      <c r="D83" s="138"/>
      <c r="E83" s="138"/>
      <c r="F83" s="138"/>
      <c r="G83" s="138"/>
      <c r="I83" s="138"/>
      <c r="J83" s="136">
        <f>SUMIFS(J34:J43,$G$34:$G$43,$C$85)+SUMIFS(J9:J18,$G$9:$G$18,$C$85)</f>
        <v>100000</v>
      </c>
      <c r="K83" s="136">
        <f t="shared" ref="K83:V83" si="80">SUMIFS(K34:K43,$G$34:$G$43,$C$85)+SUMIFS(K9:K18,$G$9:$G$18,$C$85)</f>
        <v>100000</v>
      </c>
      <c r="L83" s="136">
        <f t="shared" si="80"/>
        <v>100000</v>
      </c>
      <c r="M83" s="136">
        <f t="shared" si="80"/>
        <v>100000</v>
      </c>
      <c r="N83" s="136">
        <f t="shared" si="80"/>
        <v>100000</v>
      </c>
      <c r="O83" s="136">
        <f t="shared" si="80"/>
        <v>100000</v>
      </c>
      <c r="P83" s="136">
        <f t="shared" si="80"/>
        <v>100000</v>
      </c>
      <c r="Q83" s="136">
        <f t="shared" si="80"/>
        <v>100000</v>
      </c>
      <c r="R83" s="136">
        <f t="shared" si="80"/>
        <v>100000</v>
      </c>
      <c r="S83" s="136">
        <f t="shared" si="80"/>
        <v>100000</v>
      </c>
      <c r="T83" s="136">
        <f t="shared" si="80"/>
        <v>100000</v>
      </c>
      <c r="U83" s="136">
        <f t="shared" si="80"/>
        <v>100000</v>
      </c>
      <c r="V83" s="136">
        <f t="shared" si="80"/>
        <v>100000</v>
      </c>
      <c r="W83" s="137">
        <f t="shared" si="73"/>
        <v>1300000</v>
      </c>
    </row>
    <row r="84" spans="3:23" ht="16.5" outlineLevel="1" thickBot="1" x14ac:dyDescent="0.3">
      <c r="C84" s="17" t="s">
        <v>261</v>
      </c>
      <c r="D84" s="138"/>
      <c r="E84" s="251" t="str">
        <f>IF(SUM(J84:V84)&lt;&gt;0,"YES","NO")</f>
        <v>NO</v>
      </c>
      <c r="F84" s="138"/>
      <c r="G84" s="138"/>
      <c r="I84" s="138"/>
      <c r="J84" s="136">
        <f>'השקעות ופחת'!J13</f>
        <v>0</v>
      </c>
      <c r="K84" s="136">
        <f>'השקעות ופחת'!K13</f>
        <v>0</v>
      </c>
      <c r="L84" s="136">
        <f>'השקעות ופחת'!L13</f>
        <v>0</v>
      </c>
      <c r="M84" s="136">
        <f>'השקעות ופחת'!M13</f>
        <v>0</v>
      </c>
      <c r="N84" s="136">
        <f>'השקעות ופחת'!N13</f>
        <v>0</v>
      </c>
      <c r="O84" s="136">
        <f>'השקעות ופחת'!O13</f>
        <v>0</v>
      </c>
      <c r="P84" s="136">
        <f>'השקעות ופחת'!P13</f>
        <v>0</v>
      </c>
      <c r="Q84" s="136">
        <f>'השקעות ופחת'!Q13</f>
        <v>0</v>
      </c>
      <c r="R84" s="136">
        <f>'השקעות ופחת'!R13</f>
        <v>0</v>
      </c>
      <c r="S84" s="136">
        <f>'השקעות ופחת'!S13</f>
        <v>0</v>
      </c>
      <c r="T84" s="136">
        <f>'השקעות ופחת'!T13</f>
        <v>0</v>
      </c>
      <c r="U84" s="136">
        <f>'השקעות ופחת'!U13</f>
        <v>0</v>
      </c>
      <c r="V84" s="136">
        <f>'השקעות ופחת'!V13</f>
        <v>0</v>
      </c>
      <c r="W84" s="137">
        <f t="shared" si="73"/>
        <v>0</v>
      </c>
    </row>
    <row r="85" spans="3:23" ht="15.75" x14ac:dyDescent="0.25">
      <c r="C85" s="17" t="s">
        <v>200</v>
      </c>
      <c r="D85" s="138"/>
      <c r="E85" s="138"/>
      <c r="F85" s="138"/>
      <c r="G85" s="138"/>
      <c r="I85" s="138"/>
      <c r="J85" s="136">
        <f t="shared" ref="J85:V85" si="81">IF($E$84="YES",J84,J83)</f>
        <v>100000</v>
      </c>
      <c r="K85" s="136">
        <f t="shared" si="81"/>
        <v>100000</v>
      </c>
      <c r="L85" s="136">
        <f t="shared" si="81"/>
        <v>100000</v>
      </c>
      <c r="M85" s="136">
        <f t="shared" si="81"/>
        <v>100000</v>
      </c>
      <c r="N85" s="136">
        <f t="shared" si="81"/>
        <v>100000</v>
      </c>
      <c r="O85" s="136">
        <f t="shared" si="81"/>
        <v>100000</v>
      </c>
      <c r="P85" s="136">
        <f t="shared" si="81"/>
        <v>100000</v>
      </c>
      <c r="Q85" s="136">
        <f t="shared" si="81"/>
        <v>100000</v>
      </c>
      <c r="R85" s="136">
        <f t="shared" si="81"/>
        <v>100000</v>
      </c>
      <c r="S85" s="136">
        <f t="shared" si="81"/>
        <v>100000</v>
      </c>
      <c r="T85" s="136">
        <f t="shared" si="81"/>
        <v>100000</v>
      </c>
      <c r="U85" s="136">
        <f t="shared" si="81"/>
        <v>100000</v>
      </c>
      <c r="V85" s="136">
        <f t="shared" si="81"/>
        <v>100000</v>
      </c>
      <c r="W85" s="137">
        <f t="shared" si="73"/>
        <v>1300000</v>
      </c>
    </row>
    <row r="86" spans="3:23" ht="16.5" outlineLevel="1" thickBot="1" x14ac:dyDescent="0.3">
      <c r="C86" s="17" t="s">
        <v>262</v>
      </c>
      <c r="D86" s="138"/>
      <c r="E86" s="138"/>
      <c r="F86" s="138"/>
      <c r="G86" s="138"/>
      <c r="I86" s="138"/>
      <c r="J86" s="136">
        <f>SUMIFS(J34:J43,$G$34:$G$43,$C$88)+SUMIFS(J9:J18,$G$9:$G$18,$C$88)</f>
        <v>0</v>
      </c>
      <c r="K86" s="136">
        <f t="shared" ref="K86:V86" si="82">SUMIFS(K34:K43,$G$34:$G$43,$C$88)+SUMIFS(K9:K18,$G$9:$G$18,$C$88)</f>
        <v>0</v>
      </c>
      <c r="L86" s="136">
        <f t="shared" si="82"/>
        <v>0</v>
      </c>
      <c r="M86" s="136">
        <f t="shared" si="82"/>
        <v>0</v>
      </c>
      <c r="N86" s="136">
        <f t="shared" si="82"/>
        <v>0</v>
      </c>
      <c r="O86" s="136">
        <f t="shared" si="82"/>
        <v>0</v>
      </c>
      <c r="P86" s="136">
        <f t="shared" si="82"/>
        <v>0</v>
      </c>
      <c r="Q86" s="136">
        <f t="shared" si="82"/>
        <v>0</v>
      </c>
      <c r="R86" s="136">
        <f t="shared" si="82"/>
        <v>0</v>
      </c>
      <c r="S86" s="136">
        <f t="shared" si="82"/>
        <v>0</v>
      </c>
      <c r="T86" s="136">
        <f t="shared" si="82"/>
        <v>0</v>
      </c>
      <c r="U86" s="136">
        <f t="shared" si="82"/>
        <v>0</v>
      </c>
      <c r="V86" s="136">
        <f t="shared" si="82"/>
        <v>0</v>
      </c>
      <c r="W86" s="137">
        <f t="shared" si="73"/>
        <v>0</v>
      </c>
    </row>
    <row r="87" spans="3:23" ht="16.5" outlineLevel="1" thickBot="1" x14ac:dyDescent="0.3">
      <c r="C87" s="17" t="s">
        <v>263</v>
      </c>
      <c r="D87" s="138"/>
      <c r="E87" s="251" t="str">
        <f>IF(SUM(J87:V87)&lt;&gt;0,"YES","NO")</f>
        <v>NO</v>
      </c>
      <c r="F87" s="138"/>
      <c r="G87" s="138"/>
      <c r="I87" s="138"/>
      <c r="J87" s="136">
        <f>'השקעות ופחת'!J14</f>
        <v>0</v>
      </c>
      <c r="K87" s="136">
        <f>'השקעות ופחת'!K14</f>
        <v>0</v>
      </c>
      <c r="L87" s="136">
        <f>'השקעות ופחת'!L14</f>
        <v>0</v>
      </c>
      <c r="M87" s="136">
        <f>'השקעות ופחת'!M14</f>
        <v>0</v>
      </c>
      <c r="N87" s="136">
        <f>'השקעות ופחת'!N14</f>
        <v>0</v>
      </c>
      <c r="O87" s="136">
        <f>'השקעות ופחת'!O14</f>
        <v>0</v>
      </c>
      <c r="P87" s="136">
        <f>'השקעות ופחת'!P14</f>
        <v>0</v>
      </c>
      <c r="Q87" s="136">
        <f>'השקעות ופחת'!Q14</f>
        <v>0</v>
      </c>
      <c r="R87" s="136">
        <f>'השקעות ופחת'!R14</f>
        <v>0</v>
      </c>
      <c r="S87" s="136">
        <f>'השקעות ופחת'!S14</f>
        <v>0</v>
      </c>
      <c r="T87" s="136">
        <f>'השקעות ופחת'!T14</f>
        <v>0</v>
      </c>
      <c r="U87" s="136">
        <f>'השקעות ופחת'!U14</f>
        <v>0</v>
      </c>
      <c r="V87" s="136">
        <f>'השקעות ופחת'!V14</f>
        <v>0</v>
      </c>
      <c r="W87" s="137">
        <f t="shared" si="73"/>
        <v>0</v>
      </c>
    </row>
    <row r="88" spans="3:23" ht="15.75" x14ac:dyDescent="0.25">
      <c r="C88" s="17" t="s">
        <v>201</v>
      </c>
      <c r="D88" s="138"/>
      <c r="E88" s="138"/>
      <c r="F88" s="138"/>
      <c r="G88" s="138"/>
      <c r="I88" s="138"/>
      <c r="J88" s="136">
        <f t="shared" ref="J88:V88" si="83">IF($E$87="YES",J87,J86)</f>
        <v>0</v>
      </c>
      <c r="K88" s="136">
        <f t="shared" si="83"/>
        <v>0</v>
      </c>
      <c r="L88" s="136">
        <f t="shared" si="83"/>
        <v>0</v>
      </c>
      <c r="M88" s="136">
        <f t="shared" si="83"/>
        <v>0</v>
      </c>
      <c r="N88" s="136">
        <f t="shared" si="83"/>
        <v>0</v>
      </c>
      <c r="O88" s="136">
        <f t="shared" si="83"/>
        <v>0</v>
      </c>
      <c r="P88" s="136">
        <f t="shared" si="83"/>
        <v>0</v>
      </c>
      <c r="Q88" s="136">
        <f t="shared" si="83"/>
        <v>0</v>
      </c>
      <c r="R88" s="136">
        <f t="shared" si="83"/>
        <v>0</v>
      </c>
      <c r="S88" s="136">
        <f t="shared" si="83"/>
        <v>0</v>
      </c>
      <c r="T88" s="136">
        <f t="shared" si="83"/>
        <v>0</v>
      </c>
      <c r="U88" s="136">
        <f t="shared" si="83"/>
        <v>0</v>
      </c>
      <c r="V88" s="136">
        <f t="shared" si="83"/>
        <v>0</v>
      </c>
      <c r="W88" s="137">
        <f t="shared" si="73"/>
        <v>0</v>
      </c>
    </row>
    <row r="89" spans="3:23" ht="16.5" outlineLevel="1" thickBot="1" x14ac:dyDescent="0.3">
      <c r="C89" s="17" t="s">
        <v>264</v>
      </c>
      <c r="D89" s="138"/>
      <c r="E89" s="138"/>
      <c r="F89" s="138"/>
      <c r="G89" s="138"/>
      <c r="I89" s="138"/>
      <c r="J89" s="136">
        <f>SUMIFS(J34:J43,$G$34:$G$43,$C$91)+SUMIFS(J9:J18,$G$9:$G$18,$C$91)</f>
        <v>0</v>
      </c>
      <c r="K89" s="136">
        <f t="shared" ref="K89:V89" si="84">SUMIFS(K34:K43,$G$34:$G$43,$C$91)+SUMIFS(K9:K18,$G$9:$G$18,$C$91)</f>
        <v>0</v>
      </c>
      <c r="L89" s="136">
        <f t="shared" si="84"/>
        <v>0</v>
      </c>
      <c r="M89" s="136">
        <f t="shared" si="84"/>
        <v>0</v>
      </c>
      <c r="N89" s="136">
        <f t="shared" si="84"/>
        <v>0</v>
      </c>
      <c r="O89" s="136">
        <f t="shared" si="84"/>
        <v>0</v>
      </c>
      <c r="P89" s="136">
        <f t="shared" si="84"/>
        <v>0</v>
      </c>
      <c r="Q89" s="136">
        <f t="shared" si="84"/>
        <v>0</v>
      </c>
      <c r="R89" s="136">
        <f t="shared" si="84"/>
        <v>0</v>
      </c>
      <c r="S89" s="136">
        <f t="shared" si="84"/>
        <v>0</v>
      </c>
      <c r="T89" s="136">
        <f t="shared" si="84"/>
        <v>0</v>
      </c>
      <c r="U89" s="136">
        <f t="shared" si="84"/>
        <v>0</v>
      </c>
      <c r="V89" s="136">
        <f t="shared" si="84"/>
        <v>0</v>
      </c>
      <c r="W89" s="137">
        <f t="shared" si="73"/>
        <v>0</v>
      </c>
    </row>
    <row r="90" spans="3:23" ht="16.5" outlineLevel="1" thickBot="1" x14ac:dyDescent="0.3">
      <c r="C90" s="17" t="s">
        <v>265</v>
      </c>
      <c r="D90" s="138"/>
      <c r="E90" s="251" t="str">
        <f>IF(SUM(J90:V90)&lt;&gt;0,"YES","NO")</f>
        <v>NO</v>
      </c>
      <c r="F90" s="138"/>
      <c r="G90" s="138"/>
      <c r="I90" s="138"/>
      <c r="J90" s="136">
        <f>'השקעות ופחת'!J15</f>
        <v>0</v>
      </c>
      <c r="K90" s="136">
        <f>'השקעות ופחת'!K15</f>
        <v>0</v>
      </c>
      <c r="L90" s="136">
        <f>'השקעות ופחת'!L15</f>
        <v>0</v>
      </c>
      <c r="M90" s="136">
        <f>'השקעות ופחת'!M15</f>
        <v>0</v>
      </c>
      <c r="N90" s="136">
        <f>'השקעות ופחת'!N15</f>
        <v>0</v>
      </c>
      <c r="O90" s="136">
        <f>'השקעות ופחת'!O15</f>
        <v>0</v>
      </c>
      <c r="P90" s="136">
        <f>'השקעות ופחת'!P15</f>
        <v>0</v>
      </c>
      <c r="Q90" s="136">
        <f>'השקעות ופחת'!Q15</f>
        <v>0</v>
      </c>
      <c r="R90" s="136">
        <f>'השקעות ופחת'!R15</f>
        <v>0</v>
      </c>
      <c r="S90" s="136">
        <f>'השקעות ופחת'!S15</f>
        <v>0</v>
      </c>
      <c r="T90" s="136">
        <f>'השקעות ופחת'!T15</f>
        <v>0</v>
      </c>
      <c r="U90" s="136">
        <f>'השקעות ופחת'!U15</f>
        <v>0</v>
      </c>
      <c r="V90" s="136">
        <f>'השקעות ופחת'!V15</f>
        <v>0</v>
      </c>
      <c r="W90" s="137">
        <f t="shared" si="73"/>
        <v>0</v>
      </c>
    </row>
    <row r="91" spans="3:23" ht="15.75" x14ac:dyDescent="0.25">
      <c r="C91" s="17" t="s">
        <v>202</v>
      </c>
      <c r="D91" s="138"/>
      <c r="E91" s="138"/>
      <c r="F91" s="138"/>
      <c r="G91" s="138"/>
      <c r="H91" s="138"/>
      <c r="I91" s="138"/>
      <c r="J91" s="136">
        <f t="shared" ref="J91:V91" si="85">IF($E$90="YES",J90,J89)</f>
        <v>0</v>
      </c>
      <c r="K91" s="136">
        <f t="shared" si="85"/>
        <v>0</v>
      </c>
      <c r="L91" s="136">
        <f t="shared" si="85"/>
        <v>0</v>
      </c>
      <c r="M91" s="136">
        <f t="shared" si="85"/>
        <v>0</v>
      </c>
      <c r="N91" s="136">
        <f t="shared" si="85"/>
        <v>0</v>
      </c>
      <c r="O91" s="136">
        <f t="shared" si="85"/>
        <v>0</v>
      </c>
      <c r="P91" s="136">
        <f t="shared" si="85"/>
        <v>0</v>
      </c>
      <c r="Q91" s="136">
        <f t="shared" si="85"/>
        <v>0</v>
      </c>
      <c r="R91" s="136">
        <f t="shared" si="85"/>
        <v>0</v>
      </c>
      <c r="S91" s="136">
        <f t="shared" si="85"/>
        <v>0</v>
      </c>
      <c r="T91" s="136">
        <f t="shared" si="85"/>
        <v>0</v>
      </c>
      <c r="U91" s="136">
        <f t="shared" si="85"/>
        <v>0</v>
      </c>
      <c r="V91" s="136">
        <f t="shared" si="85"/>
        <v>0</v>
      </c>
      <c r="W91" s="137">
        <f t="shared" si="73"/>
        <v>0</v>
      </c>
    </row>
    <row r="92" spans="3:23" ht="15.75" x14ac:dyDescent="0.25">
      <c r="C92" s="17"/>
      <c r="D92" s="138"/>
      <c r="E92" s="138"/>
      <c r="F92" s="138"/>
      <c r="G92" s="138"/>
      <c r="H92" s="138"/>
      <c r="I92" s="138"/>
      <c r="J92" s="136"/>
      <c r="K92" s="136"/>
      <c r="L92" s="136"/>
      <c r="M92" s="136"/>
      <c r="N92" s="136"/>
      <c r="O92" s="136"/>
      <c r="P92" s="136"/>
      <c r="Q92" s="136"/>
      <c r="R92" s="136"/>
      <c r="S92" s="136"/>
      <c r="T92" s="136"/>
      <c r="U92" s="136"/>
      <c r="V92" s="136"/>
      <c r="W92" s="137"/>
    </row>
    <row r="93" spans="3:23" ht="15.75" x14ac:dyDescent="0.25">
      <c r="C93" s="17" t="s">
        <v>203</v>
      </c>
      <c r="D93" s="138"/>
      <c r="E93" s="138"/>
      <c r="F93" s="138"/>
      <c r="G93" s="138"/>
      <c r="H93" s="138"/>
      <c r="I93" s="138"/>
      <c r="J93" s="136">
        <f>SUM(J82,J85,J88,J91)</f>
        <v>210000</v>
      </c>
      <c r="K93" s="136">
        <f t="shared" ref="K93:U93" si="86">SUM(K82,K85,K88,K91)</f>
        <v>210000</v>
      </c>
      <c r="L93" s="136">
        <f t="shared" si="86"/>
        <v>210000</v>
      </c>
      <c r="M93" s="136">
        <f t="shared" si="86"/>
        <v>210000</v>
      </c>
      <c r="N93" s="136">
        <f t="shared" si="86"/>
        <v>210000</v>
      </c>
      <c r="O93" s="136">
        <f t="shared" si="86"/>
        <v>210000</v>
      </c>
      <c r="P93" s="136">
        <f t="shared" si="86"/>
        <v>210000</v>
      </c>
      <c r="Q93" s="136">
        <f t="shared" si="86"/>
        <v>210000</v>
      </c>
      <c r="R93" s="136">
        <f t="shared" si="86"/>
        <v>210000</v>
      </c>
      <c r="S93" s="136">
        <f t="shared" si="86"/>
        <v>210000</v>
      </c>
      <c r="T93" s="136">
        <f t="shared" si="86"/>
        <v>210000</v>
      </c>
      <c r="U93" s="136">
        <f t="shared" si="86"/>
        <v>210000</v>
      </c>
      <c r="V93" s="136">
        <f>SUM(V82,V85,V88,V91)</f>
        <v>210000</v>
      </c>
      <c r="W93" s="137">
        <f t="shared" si="73"/>
        <v>2730000</v>
      </c>
    </row>
    <row r="94" spans="3:23" ht="15.75" x14ac:dyDescent="0.25">
      <c r="C94" s="17"/>
      <c r="D94" s="138"/>
      <c r="E94" s="138"/>
      <c r="F94" s="138"/>
      <c r="G94" s="138"/>
      <c r="H94" s="138"/>
      <c r="I94" s="138"/>
      <c r="J94" s="136"/>
      <c r="K94" s="136"/>
      <c r="L94" s="136"/>
      <c r="M94" s="136"/>
      <c r="N94" s="136"/>
      <c r="O94" s="136"/>
      <c r="P94" s="136"/>
      <c r="Q94" s="136"/>
      <c r="R94" s="136"/>
      <c r="S94" s="136"/>
      <c r="T94" s="136"/>
      <c r="U94" s="136"/>
      <c r="V94" s="136"/>
      <c r="W94" s="137"/>
    </row>
    <row r="95" spans="3:23" ht="15.75" x14ac:dyDescent="0.25">
      <c r="C95" s="17"/>
      <c r="D95" s="138"/>
      <c r="E95" s="138"/>
      <c r="F95" s="138"/>
      <c r="G95" s="138"/>
      <c r="H95" s="138"/>
      <c r="I95" s="138"/>
      <c r="J95" s="136"/>
      <c r="K95" s="136"/>
      <c r="L95" s="136"/>
      <c r="M95" s="136"/>
      <c r="N95" s="136"/>
      <c r="O95" s="136"/>
      <c r="P95" s="136"/>
      <c r="Q95" s="136"/>
      <c r="R95" s="136"/>
      <c r="S95" s="136"/>
      <c r="T95" s="136"/>
      <c r="U95" s="136"/>
      <c r="V95" s="136"/>
      <c r="W95" s="137"/>
    </row>
    <row r="96" spans="3:23" ht="16.5" thickBot="1" x14ac:dyDescent="0.3">
      <c r="C96" s="64"/>
      <c r="D96" s="147"/>
      <c r="E96" s="147"/>
      <c r="F96" s="147"/>
      <c r="G96" s="147"/>
      <c r="H96" s="147"/>
      <c r="I96" s="147"/>
      <c r="J96" s="148"/>
      <c r="K96" s="148"/>
      <c r="L96" s="148"/>
      <c r="M96" s="148"/>
      <c r="N96" s="148"/>
      <c r="O96" s="148"/>
      <c r="P96" s="148"/>
      <c r="Q96" s="148"/>
      <c r="R96" s="148"/>
      <c r="S96" s="148"/>
      <c r="T96" s="148"/>
      <c r="U96" s="148"/>
      <c r="V96" s="148"/>
      <c r="W96" s="149"/>
    </row>
    <row r="97" spans="3:23" ht="15.75" thickBot="1" x14ac:dyDescent="0.3"/>
    <row r="98" spans="3:23" ht="15.75" x14ac:dyDescent="0.25">
      <c r="C98" s="22" t="s">
        <v>196</v>
      </c>
      <c r="D98" s="34"/>
      <c r="E98" s="34"/>
      <c r="F98" s="67"/>
      <c r="G98" s="67"/>
      <c r="H98" s="67"/>
      <c r="I98" s="34"/>
      <c r="J98" s="34">
        <f>הנחות!F6</f>
        <v>43983</v>
      </c>
      <c r="K98" s="34">
        <f>EDATE(J98,1)</f>
        <v>44013</v>
      </c>
      <c r="L98" s="34">
        <f t="shared" ref="L98:V98" si="87">EDATE(K98,1)</f>
        <v>44044</v>
      </c>
      <c r="M98" s="34">
        <f t="shared" si="87"/>
        <v>44075</v>
      </c>
      <c r="N98" s="34">
        <f t="shared" si="87"/>
        <v>44105</v>
      </c>
      <c r="O98" s="34">
        <f t="shared" si="87"/>
        <v>44136</v>
      </c>
      <c r="P98" s="34">
        <f t="shared" si="87"/>
        <v>44166</v>
      </c>
      <c r="Q98" s="34">
        <f t="shared" si="87"/>
        <v>44197</v>
      </c>
      <c r="R98" s="34">
        <f t="shared" si="87"/>
        <v>44228</v>
      </c>
      <c r="S98" s="34">
        <f t="shared" si="87"/>
        <v>44256</v>
      </c>
      <c r="T98" s="34">
        <f t="shared" si="87"/>
        <v>44287</v>
      </c>
      <c r="U98" s="34">
        <f t="shared" si="87"/>
        <v>44317</v>
      </c>
      <c r="V98" s="34">
        <f t="shared" si="87"/>
        <v>44348</v>
      </c>
      <c r="W98" s="20" t="s">
        <v>23</v>
      </c>
    </row>
    <row r="99" spans="3:23" ht="15.75" x14ac:dyDescent="0.25">
      <c r="C99" s="17"/>
      <c r="D99" s="138"/>
      <c r="E99" s="138"/>
      <c r="F99" s="138"/>
      <c r="G99" s="138"/>
      <c r="H99" s="138"/>
      <c r="I99" s="138"/>
      <c r="J99" s="136"/>
      <c r="K99" s="136"/>
      <c r="L99" s="136"/>
      <c r="M99" s="136"/>
      <c r="N99" s="136"/>
      <c r="O99" s="136"/>
      <c r="P99" s="136"/>
      <c r="Q99" s="136"/>
      <c r="R99" s="136"/>
      <c r="S99" s="136"/>
      <c r="T99" s="136"/>
      <c r="U99" s="136"/>
      <c r="V99" s="136"/>
      <c r="W99" s="137"/>
    </row>
    <row r="100" spans="3:23" ht="15.75" x14ac:dyDescent="0.25">
      <c r="C100" s="17" t="s">
        <v>137</v>
      </c>
      <c r="D100" s="138"/>
      <c r="E100" s="138"/>
      <c r="F100" s="138"/>
      <c r="G100" s="138"/>
      <c r="H100" s="138"/>
      <c r="I100" s="138"/>
      <c r="J100" s="151" t="str">
        <f t="shared" ref="J100:V100" si="88">IF(J3=1,"YES","NO")</f>
        <v>YES</v>
      </c>
      <c r="K100" s="151" t="str">
        <f t="shared" si="88"/>
        <v>YES</v>
      </c>
      <c r="L100" s="151" t="str">
        <f t="shared" si="88"/>
        <v>YES</v>
      </c>
      <c r="M100" s="151" t="str">
        <f t="shared" si="88"/>
        <v>YES</v>
      </c>
      <c r="N100" s="151" t="str">
        <f t="shared" si="88"/>
        <v>YES</v>
      </c>
      <c r="O100" s="151" t="str">
        <f t="shared" si="88"/>
        <v>YES</v>
      </c>
      <c r="P100" s="151" t="str">
        <f t="shared" si="88"/>
        <v>YES</v>
      </c>
      <c r="Q100" s="151" t="str">
        <f t="shared" si="88"/>
        <v>YES</v>
      </c>
      <c r="R100" s="151" t="str">
        <f t="shared" si="88"/>
        <v>YES</v>
      </c>
      <c r="S100" s="151" t="str">
        <f t="shared" si="88"/>
        <v>YES</v>
      </c>
      <c r="T100" s="151" t="str">
        <f t="shared" si="88"/>
        <v>YES</v>
      </c>
      <c r="U100" s="151" t="str">
        <f t="shared" si="88"/>
        <v>YES</v>
      </c>
      <c r="V100" s="151" t="str">
        <f t="shared" si="88"/>
        <v>YES</v>
      </c>
      <c r="W100" s="137"/>
    </row>
    <row r="101" spans="3:23" ht="16.5" thickBot="1" x14ac:dyDescent="0.3">
      <c r="C101" s="17"/>
      <c r="D101" s="138"/>
      <c r="E101" s="138"/>
      <c r="F101" s="138"/>
      <c r="G101" s="138"/>
      <c r="H101" s="138"/>
      <c r="I101" s="138"/>
      <c r="J101" s="136"/>
      <c r="K101" s="136"/>
      <c r="L101" s="136"/>
      <c r="M101" s="136"/>
      <c r="N101" s="136"/>
      <c r="O101" s="136"/>
      <c r="P101" s="136"/>
      <c r="Q101" s="136"/>
      <c r="R101" s="136"/>
      <c r="S101" s="136"/>
      <c r="T101" s="136"/>
      <c r="U101" s="136"/>
      <c r="V101" s="136"/>
      <c r="W101" s="137"/>
    </row>
    <row r="102" spans="3:23" ht="16.5" thickBot="1" x14ac:dyDescent="0.3">
      <c r="C102" s="17" t="s">
        <v>197</v>
      </c>
      <c r="D102" s="138"/>
      <c r="E102" s="182" t="s">
        <v>56</v>
      </c>
      <c r="F102" s="138"/>
      <c r="G102" s="138"/>
      <c r="H102" s="138"/>
      <c r="I102" s="138"/>
      <c r="J102" s="136">
        <f>IF(J100="YES",1,0)*(SUMIFS(J34:J43,$I$34:$I$43,$E$102)+SUMIFS(J9:J18,$I$9:$I$18,$E$102))</f>
        <v>390250</v>
      </c>
      <c r="K102" s="136">
        <f t="shared" ref="K102:V102" si="89">IF(K100="YES",1,0)*(SUMIFS(K34:K43,$I$34:$I$43,$E$102)+SUMIFS(K9:K18,$I$9:$I$18,$E$102))</f>
        <v>390250</v>
      </c>
      <c r="L102" s="136">
        <f t="shared" si="89"/>
        <v>390250</v>
      </c>
      <c r="M102" s="136">
        <f t="shared" si="89"/>
        <v>390250</v>
      </c>
      <c r="N102" s="136">
        <f t="shared" si="89"/>
        <v>390250</v>
      </c>
      <c r="O102" s="136">
        <f t="shared" si="89"/>
        <v>390250</v>
      </c>
      <c r="P102" s="136">
        <f t="shared" si="89"/>
        <v>468300</v>
      </c>
      <c r="Q102" s="136">
        <f t="shared" si="89"/>
        <v>546350</v>
      </c>
      <c r="R102" s="136">
        <f t="shared" si="89"/>
        <v>312200</v>
      </c>
      <c r="S102" s="136">
        <f t="shared" si="89"/>
        <v>546350</v>
      </c>
      <c r="T102" s="136">
        <f t="shared" si="89"/>
        <v>624400</v>
      </c>
      <c r="U102" s="136">
        <f t="shared" si="89"/>
        <v>702450</v>
      </c>
      <c r="V102" s="136">
        <f t="shared" si="89"/>
        <v>780500</v>
      </c>
      <c r="W102" s="137"/>
    </row>
    <row r="103" spans="3:23" ht="15.75" x14ac:dyDescent="0.25">
      <c r="C103" s="17"/>
      <c r="D103" s="138"/>
      <c r="E103" s="138"/>
      <c r="F103" s="138"/>
      <c r="G103" s="138"/>
      <c r="H103" s="138"/>
      <c r="I103" s="138"/>
      <c r="J103" s="136"/>
      <c r="K103" s="136"/>
      <c r="L103" s="136"/>
      <c r="M103" s="136"/>
      <c r="N103" s="136"/>
      <c r="O103" s="136"/>
      <c r="P103" s="136"/>
      <c r="Q103" s="136"/>
      <c r="R103" s="136"/>
      <c r="S103" s="136"/>
      <c r="T103" s="136"/>
      <c r="U103" s="136"/>
      <c r="V103" s="136"/>
      <c r="W103" s="137"/>
    </row>
    <row r="104" spans="3:23" ht="15.75" x14ac:dyDescent="0.25">
      <c r="C104" s="17" t="s">
        <v>272</v>
      </c>
      <c r="D104" s="138"/>
      <c r="E104" s="138"/>
      <c r="F104" s="138"/>
      <c r="G104" s="138"/>
      <c r="H104" s="138"/>
      <c r="I104" s="138"/>
      <c r="J104" s="136">
        <f>(SUMIFS(J34:J43,$I$34:$I$43,$E$102)+SUMIFS(J9:J18,$I$9:$I$18,$E$102))</f>
        <v>390250</v>
      </c>
      <c r="K104" s="136">
        <f t="shared" ref="K104:V104" si="90">(SUMIFS(K34:K43,$I$34:$I$43,$E$102)+SUMIFS(K9:K18,$I$9:$I$18,$E$102))</f>
        <v>390250</v>
      </c>
      <c r="L104" s="136">
        <f t="shared" si="90"/>
        <v>390250</v>
      </c>
      <c r="M104" s="136">
        <f t="shared" si="90"/>
        <v>390250</v>
      </c>
      <c r="N104" s="136">
        <f t="shared" si="90"/>
        <v>390250</v>
      </c>
      <c r="O104" s="136">
        <f t="shared" si="90"/>
        <v>390250</v>
      </c>
      <c r="P104" s="136">
        <f t="shared" si="90"/>
        <v>468300</v>
      </c>
      <c r="Q104" s="136">
        <f t="shared" si="90"/>
        <v>546350</v>
      </c>
      <c r="R104" s="136">
        <f t="shared" si="90"/>
        <v>312200</v>
      </c>
      <c r="S104" s="136">
        <f t="shared" si="90"/>
        <v>546350</v>
      </c>
      <c r="T104" s="136">
        <f t="shared" si="90"/>
        <v>624400</v>
      </c>
      <c r="U104" s="136">
        <f t="shared" si="90"/>
        <v>702450</v>
      </c>
      <c r="V104" s="136">
        <f t="shared" si="90"/>
        <v>780500</v>
      </c>
      <c r="W104" s="137"/>
    </row>
    <row r="105" spans="3:23" ht="16.5" thickBot="1" x14ac:dyDescent="0.3">
      <c r="C105" s="64"/>
      <c r="D105" s="147"/>
      <c r="E105" s="147"/>
      <c r="F105" s="147"/>
      <c r="G105" s="147"/>
      <c r="H105" s="147"/>
      <c r="I105" s="147"/>
      <c r="J105" s="148"/>
      <c r="K105" s="148"/>
      <c r="L105" s="148"/>
      <c r="M105" s="148"/>
      <c r="N105" s="148"/>
      <c r="O105" s="148"/>
      <c r="P105" s="148"/>
      <c r="Q105" s="148"/>
      <c r="R105" s="148"/>
      <c r="S105" s="148"/>
      <c r="T105" s="148"/>
      <c r="U105" s="148"/>
      <c r="V105" s="148"/>
      <c r="W105" s="149"/>
    </row>
    <row r="106" spans="3:23" ht="15.75" thickBot="1" x14ac:dyDescent="0.3"/>
    <row r="107" spans="3:23" ht="15.75" x14ac:dyDescent="0.25">
      <c r="C107" s="22" t="s">
        <v>276</v>
      </c>
      <c r="D107" s="34"/>
      <c r="E107" s="34"/>
      <c r="F107" s="67"/>
      <c r="G107" s="67"/>
      <c r="H107" s="67"/>
      <c r="I107" s="34"/>
      <c r="J107" s="34">
        <f>הנחות!F6</f>
        <v>43983</v>
      </c>
      <c r="K107" s="34">
        <f>EDATE(J107,1)</f>
        <v>44013</v>
      </c>
      <c r="L107" s="34">
        <f t="shared" ref="L107:V107" si="91">EDATE(K107,1)</f>
        <v>44044</v>
      </c>
      <c r="M107" s="34">
        <f t="shared" si="91"/>
        <v>44075</v>
      </c>
      <c r="N107" s="34">
        <f t="shared" si="91"/>
        <v>44105</v>
      </c>
      <c r="O107" s="34">
        <f t="shared" si="91"/>
        <v>44136</v>
      </c>
      <c r="P107" s="34">
        <f t="shared" si="91"/>
        <v>44166</v>
      </c>
      <c r="Q107" s="34">
        <f t="shared" si="91"/>
        <v>44197</v>
      </c>
      <c r="R107" s="34">
        <f t="shared" si="91"/>
        <v>44228</v>
      </c>
      <c r="S107" s="34">
        <f t="shared" si="91"/>
        <v>44256</v>
      </c>
      <c r="T107" s="34">
        <f t="shared" si="91"/>
        <v>44287</v>
      </c>
      <c r="U107" s="34">
        <f t="shared" si="91"/>
        <v>44317</v>
      </c>
      <c r="V107" s="34">
        <f t="shared" si="91"/>
        <v>44348</v>
      </c>
      <c r="W107" s="20" t="s">
        <v>23</v>
      </c>
    </row>
    <row r="108" spans="3:23" ht="15.75" x14ac:dyDescent="0.25">
      <c r="C108" s="17"/>
      <c r="D108" s="138"/>
      <c r="E108" s="138"/>
      <c r="F108" s="138"/>
      <c r="G108" s="138"/>
      <c r="H108" s="138"/>
      <c r="I108" s="138"/>
      <c r="J108" s="136"/>
      <c r="K108" s="136"/>
      <c r="L108" s="136"/>
      <c r="M108" s="136"/>
      <c r="N108" s="136"/>
      <c r="O108" s="136"/>
      <c r="P108" s="136"/>
      <c r="Q108" s="136"/>
      <c r="R108" s="136"/>
      <c r="S108" s="136"/>
      <c r="T108" s="136"/>
      <c r="U108" s="136"/>
      <c r="V108" s="136"/>
      <c r="W108" s="137"/>
    </row>
    <row r="109" spans="3:23" ht="15.75" x14ac:dyDescent="0.25">
      <c r="C109" s="17" t="s">
        <v>277</v>
      </c>
      <c r="D109" s="138"/>
      <c r="E109" s="138"/>
      <c r="F109" s="138"/>
      <c r="G109" s="138"/>
      <c r="H109" s="138"/>
      <c r="I109" s="138"/>
      <c r="J109" s="151">
        <f>J62</f>
        <v>2126250</v>
      </c>
      <c r="K109" s="151">
        <f t="shared" ref="K109:V109" si="92">K62</f>
        <v>2126250</v>
      </c>
      <c r="L109" s="151">
        <f t="shared" si="92"/>
        <v>2126250</v>
      </c>
      <c r="M109" s="151">
        <f t="shared" si="92"/>
        <v>2126250</v>
      </c>
      <c r="N109" s="151">
        <f t="shared" si="92"/>
        <v>2126250</v>
      </c>
      <c r="O109" s="151">
        <f t="shared" si="92"/>
        <v>2126250</v>
      </c>
      <c r="P109" s="151">
        <f t="shared" si="92"/>
        <v>2330300</v>
      </c>
      <c r="Q109" s="151">
        <f t="shared" si="92"/>
        <v>2534350</v>
      </c>
      <c r="R109" s="151">
        <f t="shared" si="92"/>
        <v>1922200</v>
      </c>
      <c r="S109" s="151">
        <f t="shared" si="92"/>
        <v>2534350</v>
      </c>
      <c r="T109" s="151">
        <f t="shared" si="92"/>
        <v>2738400</v>
      </c>
      <c r="U109" s="151">
        <f t="shared" si="92"/>
        <v>2942450</v>
      </c>
      <c r="V109" s="151">
        <f t="shared" si="92"/>
        <v>3146500</v>
      </c>
      <c r="W109" s="137"/>
    </row>
    <row r="110" spans="3:23" ht="15.75" x14ac:dyDescent="0.25">
      <c r="C110" s="17" t="s">
        <v>278</v>
      </c>
      <c r="D110" s="138"/>
      <c r="G110" s="138"/>
      <c r="H110" s="138"/>
      <c r="I110" s="138"/>
      <c r="J110" s="136"/>
      <c r="K110" s="136"/>
      <c r="L110" s="136"/>
      <c r="M110" s="136"/>
      <c r="N110" s="136"/>
      <c r="O110" s="136"/>
      <c r="P110" s="136"/>
      <c r="Q110" s="136"/>
      <c r="R110" s="136"/>
      <c r="S110" s="136"/>
      <c r="T110" s="136"/>
      <c r="U110" s="136"/>
      <c r="V110" s="136"/>
      <c r="W110" s="137"/>
    </row>
    <row r="111" spans="3:23" ht="16.5" thickBot="1" x14ac:dyDescent="0.3">
      <c r="C111" s="17"/>
      <c r="D111" s="138"/>
      <c r="E111" s="138"/>
      <c r="F111" s="138"/>
      <c r="G111" s="138"/>
      <c r="H111" s="138"/>
      <c r="I111" s="138"/>
      <c r="J111" s="136"/>
      <c r="K111" s="136"/>
      <c r="L111" s="136"/>
      <c r="M111" s="136"/>
      <c r="N111" s="136"/>
      <c r="O111" s="136"/>
      <c r="P111" s="136"/>
      <c r="Q111" s="136"/>
      <c r="R111" s="136"/>
      <c r="S111" s="136"/>
      <c r="T111" s="136"/>
      <c r="U111" s="136"/>
      <c r="V111" s="136"/>
      <c r="W111" s="137"/>
    </row>
    <row r="112" spans="3:23" ht="16.5" thickBot="1" x14ac:dyDescent="0.3">
      <c r="C112" s="17" t="s">
        <v>0</v>
      </c>
      <c r="D112" s="138"/>
      <c r="E112" s="182">
        <f>COUNTIF(E78,"yes")</f>
        <v>1</v>
      </c>
      <c r="F112" s="182" t="str">
        <f>IF(E112&gt;0,"YES","NO")</f>
        <v>YES</v>
      </c>
      <c r="G112" s="138"/>
      <c r="H112" s="138"/>
      <c r="I112" s="138"/>
      <c r="J112" s="136">
        <f>-IF($F$112="YES",SUMIFS(J34:J43,$G$34:$G$43,$C$112)+SUMIFS(J9:J18,$G$9:$G$18,$C$112),0)</f>
        <v>-98000</v>
      </c>
      <c r="K112" s="136">
        <f t="shared" ref="K112:V112" si="93">-IF($F$112="YES",SUMIFS(K34:K43,$G$34:$G$43,$C$112)+SUMIFS(K9:K18,$G$9:$G$18,$C$112),0)</f>
        <v>-98000</v>
      </c>
      <c r="L112" s="136">
        <f t="shared" si="93"/>
        <v>-98000</v>
      </c>
      <c r="M112" s="136">
        <f t="shared" si="93"/>
        <v>-98000</v>
      </c>
      <c r="N112" s="136">
        <f t="shared" si="93"/>
        <v>-98000</v>
      </c>
      <c r="O112" s="136">
        <f t="shared" si="93"/>
        <v>-98000</v>
      </c>
      <c r="P112" s="136">
        <f t="shared" si="93"/>
        <v>-98000</v>
      </c>
      <c r="Q112" s="136">
        <f t="shared" si="93"/>
        <v>-98000</v>
      </c>
      <c r="R112" s="136">
        <f t="shared" si="93"/>
        <v>-98000</v>
      </c>
      <c r="S112" s="136">
        <f t="shared" si="93"/>
        <v>-98000</v>
      </c>
      <c r="T112" s="136">
        <f t="shared" si="93"/>
        <v>-98000</v>
      </c>
      <c r="U112" s="136">
        <f t="shared" si="93"/>
        <v>-98000</v>
      </c>
      <c r="V112" s="136">
        <f t="shared" si="93"/>
        <v>-98000</v>
      </c>
      <c r="W112" s="137"/>
    </row>
    <row r="113" spans="3:23" ht="16.5" thickBot="1" x14ac:dyDescent="0.3">
      <c r="C113" s="17" t="s">
        <v>279</v>
      </c>
      <c r="D113" s="138"/>
      <c r="E113" s="138"/>
      <c r="F113" s="138"/>
      <c r="G113" s="138"/>
      <c r="H113" s="138"/>
      <c r="I113" s="138"/>
      <c r="J113" s="136">
        <f>IF($F$112="YES",'הלוואה והוצאות מימון'!J10,0)</f>
        <v>80000</v>
      </c>
      <c r="K113" s="136">
        <f>IF($F$112="YES",'הלוואה והוצאות מימון'!K10,0)</f>
        <v>78000</v>
      </c>
      <c r="L113" s="136">
        <f>IF($F$112="YES",'הלוואה והוצאות מימון'!L10,0)</f>
        <v>76000</v>
      </c>
      <c r="M113" s="136">
        <f>IF($F$112="YES",'הלוואה והוצאות מימון'!M10,0)</f>
        <v>74000</v>
      </c>
      <c r="N113" s="136">
        <f>IF($F$112="YES",'הלוואה והוצאות מימון'!N10,0)</f>
        <v>72000</v>
      </c>
      <c r="O113" s="136">
        <f>IF($F$112="YES",'הלוואה והוצאות מימון'!O10,0)</f>
        <v>70000</v>
      </c>
      <c r="P113" s="136">
        <f>IF($F$112="YES",'הלוואה והוצאות מימון'!P10,0)</f>
        <v>68000</v>
      </c>
      <c r="Q113" s="136">
        <f>IF($F$112="YES",'הלוואה והוצאות מימון'!Q10,0)</f>
        <v>66000</v>
      </c>
      <c r="R113" s="136">
        <f>IF($F$112="YES",'הלוואה והוצאות מימון'!R10,0)</f>
        <v>64000</v>
      </c>
      <c r="S113" s="136">
        <f>IF($F$112="YES",'הלוואה והוצאות מימון'!S10,0)</f>
        <v>62000</v>
      </c>
      <c r="T113" s="136">
        <f>IF($F$112="YES",'הלוואה והוצאות מימון'!T10,0)</f>
        <v>60000</v>
      </c>
      <c r="U113" s="136">
        <f>IF($F$112="YES",'הלוואה והוצאות מימון'!U10,0)</f>
        <v>58000</v>
      </c>
      <c r="V113" s="136">
        <f>IF($F$112="YES",'הלוואה והוצאות מימון'!V10,0)</f>
        <v>56000</v>
      </c>
      <c r="W113" s="137"/>
    </row>
    <row r="114" spans="3:23" ht="16.5" thickBot="1" x14ac:dyDescent="0.3">
      <c r="C114" s="17" t="s">
        <v>199</v>
      </c>
      <c r="D114" s="138"/>
      <c r="E114" s="182">
        <f>COUNTIF(E81,"yes")</f>
        <v>0</v>
      </c>
      <c r="F114" s="182" t="str">
        <f>IF(E114&gt;0,"YES","NO")</f>
        <v>NO</v>
      </c>
      <c r="G114" s="138"/>
      <c r="H114" s="138"/>
      <c r="I114" s="138"/>
      <c r="J114" s="136">
        <f>-IF($F$114="YES",SUMIFS(J34:J43,$G$34:$G$43,$C$114)+SUMIFS(J9:J18,$G$9:$G$18,$C$114)-J81,0)</f>
        <v>0</v>
      </c>
      <c r="K114" s="136">
        <f t="shared" ref="K114:V114" si="94">-IF($F$114="YES",SUMIFS(K34:K43,$G$34:$G$43,$C$114)+SUMIFS(K9:K18,$G$9:$G$18,$C$114)-K81,0)</f>
        <v>0</v>
      </c>
      <c r="L114" s="136">
        <f t="shared" si="94"/>
        <v>0</v>
      </c>
      <c r="M114" s="136">
        <f t="shared" si="94"/>
        <v>0</v>
      </c>
      <c r="N114" s="136">
        <f t="shared" si="94"/>
        <v>0</v>
      </c>
      <c r="O114" s="136">
        <f t="shared" si="94"/>
        <v>0</v>
      </c>
      <c r="P114" s="136">
        <f t="shared" si="94"/>
        <v>0</v>
      </c>
      <c r="Q114" s="136">
        <f t="shared" si="94"/>
        <v>0</v>
      </c>
      <c r="R114" s="136">
        <f t="shared" si="94"/>
        <v>0</v>
      </c>
      <c r="S114" s="136">
        <f t="shared" si="94"/>
        <v>0</v>
      </c>
      <c r="T114" s="136">
        <f t="shared" si="94"/>
        <v>0</v>
      </c>
      <c r="U114" s="136">
        <f t="shared" si="94"/>
        <v>0</v>
      </c>
      <c r="V114" s="136">
        <f t="shared" si="94"/>
        <v>0</v>
      </c>
      <c r="W114" s="137"/>
    </row>
    <row r="115" spans="3:23" ht="16.5" thickBot="1" x14ac:dyDescent="0.3">
      <c r="C115" s="17" t="s">
        <v>200</v>
      </c>
      <c r="D115" s="138"/>
      <c r="E115" s="182">
        <f>COUNTIF(E84,"yes")</f>
        <v>0</v>
      </c>
      <c r="F115" s="182" t="str">
        <f t="shared" ref="F115:F117" si="95">IF(E115&gt;0,"YES","NO")</f>
        <v>NO</v>
      </c>
      <c r="G115" s="138"/>
      <c r="H115" s="138"/>
      <c r="I115" s="138"/>
      <c r="J115" s="136">
        <f>-IF($F$115="YES",SUMIFS(J34:J43,$G$34:$G$43,$C$115)+SUMIFS(J9:J18,$G$9:$G$18,$C$115)-J84,0)</f>
        <v>0</v>
      </c>
      <c r="K115" s="136">
        <f t="shared" ref="K115:V115" si="96">-IF($F$115="YES",SUMIFS(K34:K43,$G$34:$G$43,$C$115)+SUMIFS(K9:K18,$G$9:$G$18,$C$115)-K84,0)</f>
        <v>0</v>
      </c>
      <c r="L115" s="136">
        <f t="shared" si="96"/>
        <v>0</v>
      </c>
      <c r="M115" s="136">
        <f t="shared" si="96"/>
        <v>0</v>
      </c>
      <c r="N115" s="136">
        <f t="shared" si="96"/>
        <v>0</v>
      </c>
      <c r="O115" s="136">
        <f t="shared" si="96"/>
        <v>0</v>
      </c>
      <c r="P115" s="136">
        <f t="shared" si="96"/>
        <v>0</v>
      </c>
      <c r="Q115" s="136">
        <f t="shared" si="96"/>
        <v>0</v>
      </c>
      <c r="R115" s="136">
        <f t="shared" si="96"/>
        <v>0</v>
      </c>
      <c r="S115" s="136">
        <f t="shared" si="96"/>
        <v>0</v>
      </c>
      <c r="T115" s="136">
        <f t="shared" si="96"/>
        <v>0</v>
      </c>
      <c r="U115" s="136">
        <f t="shared" si="96"/>
        <v>0</v>
      </c>
      <c r="V115" s="136">
        <f t="shared" si="96"/>
        <v>0</v>
      </c>
      <c r="W115" s="137"/>
    </row>
    <row r="116" spans="3:23" ht="16.5" thickBot="1" x14ac:dyDescent="0.3">
      <c r="C116" s="17" t="s">
        <v>201</v>
      </c>
      <c r="D116" s="138"/>
      <c r="E116" s="182">
        <f>COUNTIF(E87,"yes")</f>
        <v>0</v>
      </c>
      <c r="F116" s="182" t="str">
        <f t="shared" si="95"/>
        <v>NO</v>
      </c>
      <c r="G116" s="138"/>
      <c r="H116" s="138"/>
      <c r="I116" s="138"/>
      <c r="J116" s="136">
        <f>-IF($F$116="YES",SUMIFS(J34:J43,$G$34:$G$43,$C$116)+SUMIFS(J9:J18,$G$9:$G$18,$C$116)-J87,0)</f>
        <v>0</v>
      </c>
      <c r="K116" s="136">
        <f t="shared" ref="K116:V116" si="97">-IF($F$116="YES",SUMIFS(K34:K43,$G$34:$G$43,$C$116)+SUMIFS(K9:K18,$G$9:$G$18,$C$116)-K87,0)</f>
        <v>0</v>
      </c>
      <c r="L116" s="136">
        <f t="shared" si="97"/>
        <v>0</v>
      </c>
      <c r="M116" s="136">
        <f t="shared" si="97"/>
        <v>0</v>
      </c>
      <c r="N116" s="136">
        <f t="shared" si="97"/>
        <v>0</v>
      </c>
      <c r="O116" s="136">
        <f t="shared" si="97"/>
        <v>0</v>
      </c>
      <c r="P116" s="136">
        <f t="shared" si="97"/>
        <v>0</v>
      </c>
      <c r="Q116" s="136">
        <f t="shared" si="97"/>
        <v>0</v>
      </c>
      <c r="R116" s="136">
        <f t="shared" si="97"/>
        <v>0</v>
      </c>
      <c r="S116" s="136">
        <f t="shared" si="97"/>
        <v>0</v>
      </c>
      <c r="T116" s="136">
        <f t="shared" si="97"/>
        <v>0</v>
      </c>
      <c r="U116" s="136">
        <f t="shared" si="97"/>
        <v>0</v>
      </c>
      <c r="V116" s="136">
        <f t="shared" si="97"/>
        <v>0</v>
      </c>
      <c r="W116" s="137"/>
    </row>
    <row r="117" spans="3:23" ht="16.5" thickBot="1" x14ac:dyDescent="0.3">
      <c r="C117" s="17" t="s">
        <v>202</v>
      </c>
      <c r="D117" s="138"/>
      <c r="E117" s="182">
        <f>COUNTIF(E90,"yes")</f>
        <v>0</v>
      </c>
      <c r="F117" s="182" t="str">
        <f t="shared" si="95"/>
        <v>NO</v>
      </c>
      <c r="G117" s="138"/>
      <c r="H117" s="138"/>
      <c r="I117" s="138"/>
      <c r="J117" s="136">
        <f>-IF($F$117="YES",SUMIFS(J34:J43,$G$34:$G$43,$C$117)+SUMIFS(J9:J18,$G$9:$G$18,$C$117)-J90,0)</f>
        <v>0</v>
      </c>
      <c r="K117" s="136">
        <f t="shared" ref="K117:V117" si="98">-IF($F$117="YES",SUMIFS(K34:K43,$G$34:$G$43,$C$117)+SUMIFS(K9:K18,$G$9:$G$18,$C$117)-K90,0)</f>
        <v>0</v>
      </c>
      <c r="L117" s="136">
        <f t="shared" si="98"/>
        <v>0</v>
      </c>
      <c r="M117" s="136">
        <f t="shared" si="98"/>
        <v>0</v>
      </c>
      <c r="N117" s="136">
        <f t="shared" si="98"/>
        <v>0</v>
      </c>
      <c r="O117" s="136">
        <f t="shared" si="98"/>
        <v>0</v>
      </c>
      <c r="P117" s="136">
        <f t="shared" si="98"/>
        <v>0</v>
      </c>
      <c r="Q117" s="136">
        <f t="shared" si="98"/>
        <v>0</v>
      </c>
      <c r="R117" s="136">
        <f t="shared" si="98"/>
        <v>0</v>
      </c>
      <c r="S117" s="136">
        <f t="shared" si="98"/>
        <v>0</v>
      </c>
      <c r="T117" s="136">
        <f t="shared" si="98"/>
        <v>0</v>
      </c>
      <c r="U117" s="136">
        <f t="shared" si="98"/>
        <v>0</v>
      </c>
      <c r="V117" s="136">
        <f t="shared" si="98"/>
        <v>0</v>
      </c>
      <c r="W117" s="137"/>
    </row>
    <row r="118" spans="3:23" ht="15.75" x14ac:dyDescent="0.25">
      <c r="C118" s="17"/>
      <c r="G118" s="138"/>
      <c r="H118" s="138"/>
      <c r="I118" s="138"/>
      <c r="J118" s="136"/>
      <c r="K118" s="136"/>
      <c r="L118" s="136"/>
      <c r="M118" s="136"/>
      <c r="N118" s="136"/>
      <c r="O118" s="136"/>
      <c r="P118" s="136"/>
      <c r="Q118" s="136"/>
      <c r="R118" s="136"/>
      <c r="S118" s="136"/>
      <c r="T118" s="136"/>
      <c r="U118" s="136"/>
      <c r="V118" s="136"/>
      <c r="W118" s="137"/>
    </row>
    <row r="119" spans="3:23" ht="15.75" x14ac:dyDescent="0.25">
      <c r="C119" s="17" t="s">
        <v>280</v>
      </c>
      <c r="G119" s="138"/>
      <c r="H119" s="138"/>
      <c r="I119" s="138"/>
      <c r="J119" s="136">
        <f>SUM(J109,J112:J117)</f>
        <v>2108250</v>
      </c>
      <c r="K119" s="136">
        <f t="shared" ref="K119:V119" si="99">SUM(K109,K112:K117)</f>
        <v>2106250</v>
      </c>
      <c r="L119" s="136">
        <f t="shared" si="99"/>
        <v>2104250</v>
      </c>
      <c r="M119" s="136">
        <f t="shared" si="99"/>
        <v>2102250</v>
      </c>
      <c r="N119" s="136">
        <f t="shared" si="99"/>
        <v>2100250</v>
      </c>
      <c r="O119" s="136">
        <f t="shared" si="99"/>
        <v>2098250</v>
      </c>
      <c r="P119" s="136">
        <f t="shared" si="99"/>
        <v>2300300</v>
      </c>
      <c r="Q119" s="136">
        <f t="shared" si="99"/>
        <v>2502350</v>
      </c>
      <c r="R119" s="136">
        <f t="shared" si="99"/>
        <v>1888200</v>
      </c>
      <c r="S119" s="136">
        <f t="shared" si="99"/>
        <v>2498350</v>
      </c>
      <c r="T119" s="136">
        <f t="shared" si="99"/>
        <v>2700400</v>
      </c>
      <c r="U119" s="136">
        <f t="shared" si="99"/>
        <v>2902450</v>
      </c>
      <c r="V119" s="136">
        <f t="shared" si="99"/>
        <v>3104500</v>
      </c>
      <c r="W119" s="137"/>
    </row>
    <row r="120" spans="3:23" ht="15.75" x14ac:dyDescent="0.25">
      <c r="C120" s="17" t="s">
        <v>288</v>
      </c>
      <c r="G120" s="138"/>
      <c r="H120" s="138"/>
      <c r="I120" s="138"/>
      <c r="J120" s="136"/>
      <c r="K120" s="136"/>
      <c r="L120" s="136"/>
      <c r="M120" s="136"/>
      <c r="N120" s="136"/>
      <c r="O120" s="136"/>
      <c r="P120" s="136"/>
      <c r="Q120" s="136"/>
      <c r="R120" s="136"/>
      <c r="S120" s="136"/>
      <c r="T120" s="136"/>
      <c r="U120" s="136"/>
      <c r="V120" s="136"/>
      <c r="W120" s="137"/>
    </row>
    <row r="121" spans="3:23" ht="15.75" x14ac:dyDescent="0.25">
      <c r="C121" s="17"/>
      <c r="G121" s="138"/>
      <c r="H121" s="138"/>
      <c r="I121" s="138"/>
      <c r="J121" s="136"/>
      <c r="K121" s="136"/>
      <c r="L121" s="136"/>
      <c r="M121" s="136"/>
      <c r="N121" s="136"/>
      <c r="O121" s="136"/>
      <c r="P121" s="136"/>
      <c r="Q121" s="136"/>
      <c r="R121" s="136"/>
      <c r="S121" s="136"/>
      <c r="T121" s="136"/>
      <c r="U121" s="136"/>
      <c r="V121" s="136"/>
      <c r="W121" s="137"/>
    </row>
    <row r="122" spans="3:23" ht="15.75" x14ac:dyDescent="0.25">
      <c r="C122" s="62" t="s">
        <v>283</v>
      </c>
      <c r="G122" s="138"/>
      <c r="H122" s="138"/>
      <c r="I122" s="138"/>
      <c r="J122" s="136"/>
      <c r="K122" s="136"/>
      <c r="L122" s="136"/>
      <c r="M122" s="136"/>
      <c r="N122" s="136"/>
      <c r="O122" s="136"/>
      <c r="P122" s="136"/>
      <c r="Q122" s="136"/>
      <c r="R122" s="136"/>
      <c r="S122" s="136"/>
      <c r="T122" s="136"/>
      <c r="U122" s="136"/>
      <c r="V122" s="136"/>
      <c r="W122" s="137"/>
    </row>
    <row r="123" spans="3:23" ht="16.5" thickBot="1" x14ac:dyDescent="0.3">
      <c r="C123" s="17" t="s">
        <v>293</v>
      </c>
      <c r="G123" s="138"/>
      <c r="H123" s="138"/>
      <c r="I123" s="138"/>
      <c r="J123" s="136">
        <f>-SUM(J20:J29,J45:J54)</f>
        <v>-896000</v>
      </c>
      <c r="K123" s="136">
        <f t="shared" ref="K123:V123" si="100">-SUM(K20:K29,K45:K54)</f>
        <v>-896000</v>
      </c>
      <c r="L123" s="136">
        <f t="shared" si="100"/>
        <v>-896000</v>
      </c>
      <c r="M123" s="136">
        <f t="shared" si="100"/>
        <v>-896000</v>
      </c>
      <c r="N123" s="136">
        <f t="shared" si="100"/>
        <v>-896000</v>
      </c>
      <c r="O123" s="136">
        <f t="shared" si="100"/>
        <v>-896000</v>
      </c>
      <c r="P123" s="136">
        <f t="shared" si="100"/>
        <v>-896000</v>
      </c>
      <c r="Q123" s="136">
        <f t="shared" si="100"/>
        <v>-896000</v>
      </c>
      <c r="R123" s="136">
        <f t="shared" si="100"/>
        <v>-896000</v>
      </c>
      <c r="S123" s="136">
        <f t="shared" si="100"/>
        <v>-896000</v>
      </c>
      <c r="T123" s="136">
        <f t="shared" si="100"/>
        <v>-896000</v>
      </c>
      <c r="U123" s="136">
        <f t="shared" si="100"/>
        <v>-896000</v>
      </c>
      <c r="V123" s="136">
        <f t="shared" si="100"/>
        <v>-896000</v>
      </c>
      <c r="W123" s="137"/>
    </row>
    <row r="124" spans="3:23" ht="16.5" thickBot="1" x14ac:dyDescent="0.3">
      <c r="C124" s="17" t="s">
        <v>284</v>
      </c>
      <c r="E124" s="182" t="s">
        <v>56</v>
      </c>
      <c r="G124" s="138"/>
      <c r="H124" s="138"/>
      <c r="I124" s="138"/>
      <c r="K124" s="136"/>
      <c r="L124" s="136"/>
      <c r="M124" s="136"/>
      <c r="N124" s="136"/>
      <c r="O124" s="136"/>
      <c r="P124" s="136"/>
      <c r="Q124" s="136"/>
      <c r="R124" s="136"/>
      <c r="S124" s="136"/>
      <c r="T124" s="136"/>
      <c r="U124" s="136"/>
      <c r="V124" s="136"/>
      <c r="W124" s="137"/>
    </row>
    <row r="125" spans="3:23" ht="16.5" thickBot="1" x14ac:dyDescent="0.3">
      <c r="C125" s="17" t="s">
        <v>0</v>
      </c>
      <c r="E125" s="182">
        <v>1</v>
      </c>
      <c r="G125" s="255"/>
      <c r="H125" s="255"/>
      <c r="I125" s="255"/>
      <c r="J125" s="136">
        <f>IF($F$112="YES",SUMIFS(J45:J54,$D$45:$D$54,$E$125)+SUMIFS(J20:J29,$D$20:$D$29,$E$125)+J113,0)</f>
        <v>178000</v>
      </c>
      <c r="K125" s="136">
        <f t="shared" ref="K125:V125" si="101">IF($F$112="YES",SUMIFS(K45:K54,$D$45:$D$54,$E$125)+SUMIFS(K20:K29,$D$20:$D$29,$E$125)+K113,0)</f>
        <v>176000</v>
      </c>
      <c r="L125" s="136">
        <f t="shared" si="101"/>
        <v>174000</v>
      </c>
      <c r="M125" s="136">
        <f t="shared" si="101"/>
        <v>172000</v>
      </c>
      <c r="N125" s="136">
        <f t="shared" si="101"/>
        <v>170000</v>
      </c>
      <c r="O125" s="136">
        <f t="shared" si="101"/>
        <v>168000</v>
      </c>
      <c r="P125" s="136">
        <f t="shared" si="101"/>
        <v>166000</v>
      </c>
      <c r="Q125" s="136">
        <f t="shared" si="101"/>
        <v>164000</v>
      </c>
      <c r="R125" s="136">
        <f t="shared" si="101"/>
        <v>162000</v>
      </c>
      <c r="S125" s="136">
        <f t="shared" si="101"/>
        <v>160000</v>
      </c>
      <c r="T125" s="136">
        <f t="shared" si="101"/>
        <v>158000</v>
      </c>
      <c r="U125" s="136">
        <f t="shared" si="101"/>
        <v>156000</v>
      </c>
      <c r="V125" s="136">
        <f t="shared" si="101"/>
        <v>154000</v>
      </c>
      <c r="W125" s="137"/>
    </row>
    <row r="126" spans="3:23" ht="15.75" x14ac:dyDescent="0.25">
      <c r="C126" s="17"/>
      <c r="G126" s="138"/>
      <c r="H126" s="138"/>
      <c r="I126" s="138"/>
      <c r="J126" s="136"/>
      <c r="K126" s="136"/>
      <c r="L126" s="136"/>
      <c r="M126" s="136"/>
      <c r="N126" s="136"/>
      <c r="O126" s="136"/>
      <c r="P126" s="136"/>
      <c r="Q126" s="136"/>
      <c r="R126" s="136"/>
      <c r="S126" s="136"/>
      <c r="T126" s="136"/>
      <c r="U126" s="136"/>
      <c r="V126" s="136"/>
      <c r="W126" s="137"/>
    </row>
    <row r="127" spans="3:23" ht="15.75" x14ac:dyDescent="0.25">
      <c r="C127" s="17" t="s">
        <v>285</v>
      </c>
      <c r="G127" s="138"/>
      <c r="H127" s="138"/>
      <c r="I127" s="138"/>
      <c r="J127" s="136">
        <f t="shared" ref="J127:V127" si="102">SUM(J123,J125:J125)</f>
        <v>-718000</v>
      </c>
      <c r="K127" s="136">
        <f t="shared" si="102"/>
        <v>-720000</v>
      </c>
      <c r="L127" s="136">
        <f t="shared" si="102"/>
        <v>-722000</v>
      </c>
      <c r="M127" s="136">
        <f t="shared" si="102"/>
        <v>-724000</v>
      </c>
      <c r="N127" s="136">
        <f t="shared" si="102"/>
        <v>-726000</v>
      </c>
      <c r="O127" s="136">
        <f t="shared" si="102"/>
        <v>-728000</v>
      </c>
      <c r="P127" s="136">
        <f t="shared" si="102"/>
        <v>-730000</v>
      </c>
      <c r="Q127" s="136">
        <f t="shared" si="102"/>
        <v>-732000</v>
      </c>
      <c r="R127" s="136">
        <f t="shared" si="102"/>
        <v>-734000</v>
      </c>
      <c r="S127" s="136">
        <f t="shared" si="102"/>
        <v>-736000</v>
      </c>
      <c r="T127" s="136">
        <f t="shared" si="102"/>
        <v>-738000</v>
      </c>
      <c r="U127" s="136">
        <f t="shared" si="102"/>
        <v>-740000</v>
      </c>
      <c r="V127" s="136">
        <f t="shared" si="102"/>
        <v>-742000</v>
      </c>
      <c r="W127" s="137"/>
    </row>
    <row r="128" spans="3:23" ht="15.75" x14ac:dyDescent="0.25">
      <c r="C128" s="17"/>
      <c r="G128" s="138"/>
      <c r="H128" s="138"/>
      <c r="I128" s="138"/>
      <c r="J128" s="136"/>
      <c r="K128" s="136"/>
      <c r="L128" s="136"/>
      <c r="M128" s="136"/>
      <c r="N128" s="136"/>
      <c r="O128" s="136"/>
      <c r="P128" s="136"/>
      <c r="Q128" s="136"/>
      <c r="R128" s="136"/>
      <c r="S128" s="136"/>
      <c r="T128" s="136"/>
      <c r="U128" s="136"/>
      <c r="V128" s="136"/>
      <c r="W128" s="137"/>
    </row>
    <row r="129" spans="3:23" ht="16.5" thickBot="1" x14ac:dyDescent="0.3">
      <c r="C129" s="64"/>
      <c r="D129" s="147"/>
      <c r="E129" s="147"/>
      <c r="F129" s="147"/>
      <c r="G129" s="147"/>
      <c r="H129" s="147"/>
      <c r="I129" s="147"/>
      <c r="J129" s="148"/>
      <c r="K129" s="148"/>
      <c r="L129" s="148"/>
      <c r="M129" s="148"/>
      <c r="N129" s="148"/>
      <c r="O129" s="148"/>
      <c r="P129" s="148"/>
      <c r="Q129" s="148"/>
      <c r="R129" s="148"/>
      <c r="S129" s="148"/>
      <c r="T129" s="148"/>
      <c r="U129" s="148"/>
      <c r="V129" s="148"/>
      <c r="W129" s="14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התאחדות המלונות בישראל</vt:lpstr>
      <vt:lpstr>מדריך למשתמש</vt:lpstr>
      <vt:lpstr>הנחות</vt:lpstr>
      <vt:lpstr>Dashboard</vt:lpstr>
      <vt:lpstr>רווח והפסד</vt:lpstr>
      <vt:lpstr>תזרים</vt:lpstr>
      <vt:lpstr>לוג וניהול שיחות</vt:lpstr>
      <vt:lpstr>הכנסות</vt:lpstr>
      <vt:lpstr>הוצאות</vt:lpstr>
      <vt:lpstr>הון חוזר</vt:lpstr>
      <vt:lpstr>השקעות ופחת</vt:lpstr>
      <vt:lpstr>רשימות</vt:lpstr>
      <vt:lpstr>הלוואה והוצאות מימון</vt:lpstr>
      <vt:lpstr>בדיקת כדאיות</vt:lpstr>
      <vt:lpstr>נתונים לגרפים</vt:lpstr>
      <vt:lpstr>'מדריך למשתמש'!_MailEndCompose</vt:lpstr>
      <vt:lpstr>'התאחדות המלונות בישראל'!Print_Area</vt:lpstr>
      <vt:lpstr>חודשים</vt:lpstr>
      <vt:lpstr>כןלא</vt:lpstr>
      <vt:lpstr>סוגהוצאה</vt:lpstr>
      <vt:lpstr>תרחישים</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Hadad, Dean</dc:creator>
  <cp:lastModifiedBy>shani, amir</cp:lastModifiedBy>
  <cp:lastPrinted>2020-03-29T12:51:23Z</cp:lastPrinted>
  <dcterms:created xsi:type="dcterms:W3CDTF">2020-03-29T11:32:32Z</dcterms:created>
  <dcterms:modified xsi:type="dcterms:W3CDTF">2020-06-21T09:08:09Z</dcterms:modified>
</cp:coreProperties>
</file>